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usque" sheetId="1" r:id="rId4"/>
    <sheet state="visible" name="Planilha2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35">
      <text>
        <t xml:space="preserve">30% dependendo da atividade</t>
      </text>
    </comment>
    <comment authorId="0" ref="E36">
      <text>
        <t xml:space="preserve">10%, 20% ou 40% dependendo da atividade</t>
      </text>
    </comment>
    <comment authorId="0" ref="G36">
      <text>
        <t xml:space="preserve">10%, 20% ou 40% dependendo da atividade</t>
      </text>
    </comment>
    <comment authorId="0" ref="E37">
      <text>
        <t xml:space="preserve">25% sobre a hora normal</t>
      </text>
    </comment>
    <comment authorId="0" ref="E45">
      <text>
        <t xml:space="preserve">Cálculo:
(1/12)*100 = 8,33%</t>
      </text>
    </comment>
    <comment authorId="0" ref="E46">
      <text>
        <t xml:space="preserve">Cálculo:
(1/12)+(1/12/3)*100 = 11,11%</t>
      </text>
    </comment>
    <comment authorId="0" ref="E65">
      <text>
        <t xml:space="preserve">Cláusula 16 da CCT 2020</t>
      </text>
    </comment>
    <comment authorId="0" ref="E68">
      <text>
        <t xml:space="preserve">Cláusula 11 da CCT 2020</t>
      </text>
    </comment>
    <comment authorId="0" ref="E80">
      <text>
        <t xml:space="preserve">Segundo dados, a média de pessoas demitidas nessa situação é de 5%. Cálculo:
((1/12)*0,05)*100 = 0,42%.</t>
      </text>
    </comment>
    <comment authorId="0" ref="E81">
      <text>
        <t xml:space="preserve">Cálculo:
(0,0042*0,8)*100 = 0,0333%</t>
      </text>
    </comment>
    <comment authorId="0" ref="E82">
      <text>
        <t xml:space="preserve">Cálculo: ((0,40*0,08)*0,05)*100 = 0,16%</t>
      </text>
    </comment>
    <comment authorId="0" ref="E83">
      <text>
        <t xml:space="preserve">1º ano de vigência:
Segundo dados, a média de pessoas demitidas nessa situação é de 95%. Cálculo:
(((7/30)/12)*0,95)*100 = 1,85%.
2º ano de vigência:
Segundo dados, a média de pessoas demitidas nessa situação é de 2%. Cálculo:
(((7/30)/12)*0,02)*100 = 0,04%.</t>
      </text>
    </comment>
    <comment authorId="0" ref="E85">
      <text>
        <t xml:space="preserve">Cálculo: ((0,40*0,08)*0,95)*100 = 3,04%</t>
      </text>
    </comment>
    <comment authorId="0" ref="E91">
      <text>
        <t xml:space="preserve">Cálculo:
(1/12)*100 = 8,33%</t>
      </text>
    </comment>
    <comment authorId="0" ref="E92">
      <text>
        <t xml:space="preserve">Segundo dados, a média de ausências no trabalho ao ano é de 5 dias. Cálculo:
((5/30)/12)*100 = 1,39%</t>
      </text>
    </comment>
    <comment authorId="0" ref="E93">
      <text>
        <t xml:space="preserve">Segundo dados, a média de empregados que se tornam pais ao ano é de 1,43%. Cálculo: (((20/30)/12)*0,0143)*100 = 0,08%</t>
      </text>
    </comment>
    <comment authorId="0" ref="E94">
      <text>
        <t xml:space="preserve"> Segundo dados, a média de empregados que tem ausências no trabalho por acidente ao ano é de 9,22%. Cálculo:
(((15/30)/12)*0,0922)*100 = 0,38%</t>
      </text>
    </comment>
    <comment authorId="0" ref="E95">
      <text>
        <t xml:space="preserve">Segundo dados, a média de empregadas que se tornam mães ao ano é de 1,97%. Cálculo: ((((1 + 1/3)/12)*(5/12)*0,0197)*100 = 0,09%.</t>
      </text>
    </comment>
  </commentList>
</comments>
</file>

<file path=xl/sharedStrings.xml><?xml version="1.0" encoding="utf-8"?>
<sst xmlns="http://schemas.openxmlformats.org/spreadsheetml/2006/main" count="391" uniqueCount="198">
  <si>
    <t>Planilha de Custo e Formação de Preço</t>
  </si>
  <si>
    <t>Número do processo</t>
  </si>
  <si>
    <t>Licitação nº</t>
  </si>
  <si>
    <t>Dia ___/___/20___ às ___:___ horas</t>
  </si>
  <si>
    <t>Discriminação dos Serviços (dados referentes à contratação)</t>
  </si>
  <si>
    <t>A</t>
  </si>
  <si>
    <t>Data de apreciação da proposta (dia/mês/ano)</t>
  </si>
  <si>
    <t>B</t>
  </si>
  <si>
    <t>Município/DF</t>
  </si>
  <si>
    <t>Brusque/SC</t>
  </si>
  <si>
    <t>C</t>
  </si>
  <si>
    <t>CCT</t>
  </si>
  <si>
    <t>SC000077/2023</t>
  </si>
  <si>
    <t>D</t>
  </si>
  <si>
    <t>Nº de meses de execução contratual</t>
  </si>
  <si>
    <t>Identificação do serviço</t>
  </si>
  <si>
    <t>Servente de limpeza</t>
  </si>
  <si>
    <t>Posto de serviço:</t>
  </si>
  <si>
    <t>Nº de empregados:</t>
  </si>
  <si>
    <t>Nº de dias trabalhados:</t>
  </si>
  <si>
    <t>Carga horária semanal:</t>
  </si>
  <si>
    <t>Valor vale transporte</t>
  </si>
  <si>
    <t>Valor auxílio alimentação:</t>
  </si>
  <si>
    <t>Dados para composição dos custos referentes a mão de obra</t>
  </si>
  <si>
    <t>Tipo de serviço</t>
  </si>
  <si>
    <t>Servente</t>
  </si>
  <si>
    <t>Servente c/ risco</t>
  </si>
  <si>
    <t>Lider</t>
  </si>
  <si>
    <t>Classificação Brasileira de Ocupações (CBO)</t>
  </si>
  <si>
    <t>Salário normativo da categoria profissional</t>
  </si>
  <si>
    <t>Categoria profissional</t>
  </si>
  <si>
    <t>Data base da categoria</t>
  </si>
  <si>
    <t>Módulo 1 - Composição da remuneração</t>
  </si>
  <si>
    <t>Composição da remuneração</t>
  </si>
  <si>
    <t>%</t>
  </si>
  <si>
    <t>Valor (R$)</t>
  </si>
  <si>
    <t>Salário base</t>
  </si>
  <si>
    <t>Adicional de periculosidade</t>
  </si>
  <si>
    <t>Adicional de insalubridade</t>
  </si>
  <si>
    <t>Adicional noturno</t>
  </si>
  <si>
    <t>E</t>
  </si>
  <si>
    <t>Adicional de hora noturna reduzida</t>
  </si>
  <si>
    <t>F</t>
  </si>
  <si>
    <t>Outros (especificar)</t>
  </si>
  <si>
    <t>Total</t>
  </si>
  <si>
    <t>Módulo 2 – Encargos e benefícios anuais, mensais e diários</t>
  </si>
  <si>
    <t>Submódulo 2.1 –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</si>
  <si>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</si>
  <si>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</si>
  <si>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</si>
  <si>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</si>
  <si>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– Encargos previdenciários (GPS), fundo de garantia por tempo de serviços (FGTS) e outras contribuições</t>
  </si>
  <si>
    <t>2.2</t>
  </si>
  <si>
    <t>GPS, FGTS e outras contribuições</t>
  </si>
  <si>
    <t>INSS</t>
  </si>
  <si>
    <t>Salário educação</t>
  </si>
  <si>
    <t>SAT</t>
  </si>
  <si>
    <t>SESC ou SESI</t>
  </si>
  <si>
    <t>SENAI – SENAC</t>
  </si>
  <si>
    <t>SEBRAE</t>
  </si>
  <si>
    <t>G</t>
  </si>
  <si>
    <t>INCRA</t>
  </si>
  <si>
    <t>H</t>
  </si>
  <si>
    <t>FGTS</t>
  </si>
  <si>
    <t>Submódulo 2.3 – Benefícios mensais e diários</t>
  </si>
  <si>
    <t>2.3</t>
  </si>
  <si>
    <t>Benefícios mensais e diários</t>
  </si>
  <si>
    <t>Transporte</t>
  </si>
  <si>
    <t>Auxílio-refeição/alimentação</t>
  </si>
  <si>
    <t>Assistência médica e familiar</t>
  </si>
  <si>
    <t>D.1</t>
  </si>
  <si>
    <t>Cesta básica</t>
  </si>
  <si>
    <t>D.2</t>
  </si>
  <si>
    <t>Prêmio assiduidade</t>
  </si>
  <si>
    <t>Quadro-resumo do módulo 2 – Encargos e benefícios anuais, mensais e diários</t>
  </si>
  <si>
    <t>Encargos e benefícios anuais, mensais e diários</t>
  </si>
  <si>
    <t>Módulo 3 –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</si>
  <si>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</si>
  <si>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</si>
  <si>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</si>
  <si>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</si>
  <si>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</si>
  <si>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</si>
  <si>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</si>
  <si>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– Custo de reposição do profissional ausente</t>
  </si>
  <si>
    <t>Submódulo 4.1 – Substituto nas ausências legais</t>
  </si>
  <si>
    <t>4.1</t>
  </si>
  <si>
    <t>Composição do custo de reposição do profissional ausente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</si>
  <si>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</si>
  <si>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</si>
  <si>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</si>
  <si>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</si>
  <si>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</si>
  <si>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</si>
  <si>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– Substituto na intrajornada</t>
  </si>
  <si>
    <t>4.2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</si>
  <si>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</si>
  <si>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</si>
  <si>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</si>
  <si>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</si>
  <si>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Substituto nas ausências legais</t>
  </si>
  <si>
    <t>Módulo 5 - Insumos diversos</t>
  </si>
  <si>
    <t>Insumos diversos</t>
  </si>
  <si>
    <t>Uniformes</t>
  </si>
  <si>
    <t>Materiais</t>
  </si>
  <si>
    <t>Equipamentos</t>
  </si>
  <si>
    <t>Total de Insumos diversos</t>
  </si>
  <si>
    <t>Módulo 6 - Custos indiretos, tributos e lucro</t>
  </si>
  <si>
    <t>Custos Indiretos, tributos e lucro</t>
  </si>
  <si>
    <t>Custos indiretos</t>
  </si>
  <si>
    <t>Lucro</t>
  </si>
  <si>
    <t>Tributos</t>
  </si>
  <si>
    <t>C1</t>
  </si>
  <si>
    <t>Tributos federais (especificar)</t>
  </si>
  <si>
    <t>C2</t>
  </si>
  <si>
    <t>Tributos estaduais (especificar)</t>
  </si>
  <si>
    <t>C3</t>
  </si>
  <si>
    <t>Tributos municipais (especificar)</t>
  </si>
  <si>
    <t>Quadro-resumo do custo por empregado</t>
  </si>
  <si>
    <t>Mão de obra vinculada à execução contratual</t>
  </si>
  <si>
    <t>(R$)</t>
  </si>
  <si>
    <t>Subtotal (A + B +C+ D+E)</t>
  </si>
  <si>
    <t>Valor total por empregado</t>
  </si>
  <si>
    <t>Mão de obra</t>
  </si>
  <si>
    <t>Área</t>
  </si>
  <si>
    <t>Produtividade</t>
  </si>
  <si>
    <t>Preço homem-mês</t>
  </si>
  <si>
    <t>Subtotal</t>
  </si>
  <si>
    <t>Encarregado</t>
  </si>
  <si>
    <t>Pisos acarpetados</t>
  </si>
  <si>
    <t>Pisos frios</t>
  </si>
  <si>
    <t>Laboratórios</t>
  </si>
  <si>
    <t>Almoxarifado/galpões</t>
  </si>
  <si>
    <t>Oficinas</t>
  </si>
  <si>
    <t>Áreas com espaços livres – saguão, hall e salão</t>
  </si>
  <si>
    <t>Banheiros</t>
  </si>
  <si>
    <t>Pisos pavimentados adjacentes/contínuos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</si>
  <si>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</si>
  <si>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</si>
  <si>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</si>
  <si>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</si>
  <si>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</si>
  <si>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Áreas hospitalares e assemelhadas</t>
  </si>
  <si>
    <t>Frequência no mês</t>
  </si>
  <si>
    <t>Jornada de trabalho no semestre</t>
  </si>
  <si>
    <t>Face externa com exposição a situação de risco</t>
  </si>
  <si>
    <t>Servente*</t>
  </si>
  <si>
    <t>Face externa sem exposição a situação de risco</t>
  </si>
  <si>
    <t>Face interna</t>
  </si>
  <si>
    <t>Fachadas envidraçadas</t>
  </si>
  <si>
    <t>VALOR MENSAL DOS SERVIÇOS</t>
  </si>
  <si>
    <t>Espaço</t>
  </si>
  <si>
    <t>Tipo de espaço</t>
  </si>
  <si>
    <t>Preço mensal unitário</t>
  </si>
  <si>
    <t>Área (m2)</t>
  </si>
  <si>
    <t>Periodicidade (diária)</t>
  </si>
  <si>
    <t>Área total à ser limpa</t>
  </si>
  <si>
    <t xml:space="preserve">Guarita, sala de terceirizados, Grêmio Estudantil e Dispensa </t>
  </si>
  <si>
    <t>Pisos Frios</t>
  </si>
  <si>
    <t>Interna</t>
  </si>
  <si>
    <t>Esquadrias internas - sem risco</t>
  </si>
  <si>
    <t>Esquadrias externas - sem risco</t>
  </si>
  <si>
    <t>Externa</t>
  </si>
  <si>
    <t>Bloco Administrativo</t>
  </si>
  <si>
    <t>Bloco salas de aula</t>
  </si>
  <si>
    <t>Sala professores</t>
  </si>
  <si>
    <t>Areas com espaços livres</t>
  </si>
  <si>
    <t>Esquadrias sem exposição a situação de risco</t>
  </si>
  <si>
    <t>Pisos frios laboratório de informática</t>
  </si>
  <si>
    <t>Esquadrias externas - com risco</t>
  </si>
  <si>
    <t>Almoxarifado e depósito patrimônio</t>
  </si>
  <si>
    <t>Almoxarifado / deposito</t>
  </si>
  <si>
    <t>Esquadrias internas sem risco</t>
  </si>
  <si>
    <t>esquadrias externas sem risco</t>
  </si>
  <si>
    <t>Biblioteca</t>
  </si>
  <si>
    <t>Esquadrias internas com risco</t>
  </si>
  <si>
    <t>Rampa de acesso - anexo biblioteca</t>
  </si>
  <si>
    <t>esqudrias externas com risco</t>
  </si>
  <si>
    <t>Auditório</t>
  </si>
  <si>
    <t>Esquadrias internas - com risco</t>
  </si>
  <si>
    <t>externa</t>
  </si>
  <si>
    <t>Laboratórios química, cervejeiro, física e biologia</t>
  </si>
  <si>
    <t>Pisos frios sala dos professores química</t>
  </si>
  <si>
    <t>interna</t>
  </si>
  <si>
    <t>almoxarifado de química</t>
  </si>
  <si>
    <t>laboratórios</t>
  </si>
  <si>
    <t>Copa e área de convivência</t>
  </si>
  <si>
    <t>Piso frio</t>
  </si>
  <si>
    <t>casa lixeira</t>
  </si>
  <si>
    <t>ginásio poliesportivo</t>
  </si>
  <si>
    <t>pisos frios</t>
  </si>
  <si>
    <t>esquadrias externas com risco</t>
  </si>
  <si>
    <t>Areas externas</t>
  </si>
  <si>
    <t>Lavação de quebra sol janelas sem risco</t>
  </si>
  <si>
    <t>Lavação de quebra sol janelas com risco</t>
  </si>
  <si>
    <t>Lavação parede revestida externa do auditório</t>
  </si>
  <si>
    <t>Varrição de passeios e escadas externas</t>
  </si>
  <si>
    <t>Varrição de estacionamento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</si>
</sst>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R$ &quot;#,##0.00\ ;&quot;(R$ &quot;#,##0.00\)"/>
    <numFmt numFmtId="165" formatCode="[$R$-416]\ #,##0.00;[RED]\-[$R$-416]\ #,##0.00"/>
    <numFmt numFmtId="166" formatCode="DD/MM/YYYY"/>
    <numFmt numFmtId="167" formatCode="#,##0.00000000"/>
    <numFmt numFmtId="168" formatCode="0.00000000"/>
    <numFmt numFmtId="169" formatCode="[$R$-416]\ #.##000\ ;\-[$R$-416]\ #.##000\ ;[$R$-416]&quot; -&quot;00\ ;\ @\ "/>
    <numFmt numFmtId="170" formatCode="\ #,##0.00\ ;\-#,##0.00\ ;\-00\ ;\ @\ "/>
  </numFmts>
  <fonts count="5">
    <font>
      <sz val="11.0"/>
      <color rgb="FF000000"/>
      <name val="Arial"/>
      <scheme val="minor"/>
    </font>
    <font>
      <b/>
      <sz val="11.0"/>
      <color rgb="FF000000"/>
      <name val="Arial"/>
    </font>
    <font/>
    <font>
      <sz val="11.0"/>
      <color rgb="FF000000"/>
      <name val="Arial"/>
    </font>
    <font>
      <sz val="8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</fills>
  <borders count="9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164" xfId="0" applyAlignment="1" applyFont="1" applyNumberFormat="1">
      <alignment shrinkToFit="0" vertical="bottom" wrapText="0"/>
    </xf>
    <xf borderId="4" fillId="2" fontId="1" numFmtId="0" xfId="0" applyAlignment="1" applyBorder="1" applyFill="1" applyFont="1">
      <alignment shrinkToFit="0" vertical="bottom" wrapText="0"/>
    </xf>
    <xf borderId="1" fillId="2" fontId="3" numFmtId="0" xfId="0" applyAlignment="1" applyBorder="1" applyFont="1">
      <alignment shrinkToFit="0" vertical="bottom" wrapText="0"/>
    </xf>
    <xf borderId="0" fillId="0" fontId="3" numFmtId="164" xfId="0" applyAlignment="1" applyFont="1" applyNumberFormat="1">
      <alignment horizontal="center" shrinkToFit="0" vertical="center" wrapText="0"/>
    </xf>
    <xf borderId="4" fillId="2" fontId="3" numFmtId="0" xfId="0" applyAlignment="1" applyBorder="1" applyFont="1">
      <alignment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1" fillId="2" fontId="3" numFmtId="0" xfId="0" applyAlignment="1" applyBorder="1" applyFont="1">
      <alignment horizontal="center" shrinkToFit="0" vertical="center" wrapText="0"/>
    </xf>
    <xf borderId="4" fillId="2" fontId="3" numFmtId="1" xfId="0" applyAlignment="1" applyBorder="1" applyFont="1" applyNumberFormat="1">
      <alignment horizontal="center" shrinkToFit="0" vertical="bottom" wrapText="0"/>
    </xf>
    <xf borderId="4" fillId="3" fontId="3" numFmtId="165" xfId="0" applyAlignment="1" applyBorder="1" applyFill="1" applyFont="1" applyNumberFormat="1">
      <alignment horizontal="center" shrinkToFit="0" vertical="bottom" wrapText="0"/>
    </xf>
    <xf borderId="4" fillId="2" fontId="3" numFmtId="165" xfId="0" applyAlignment="1" applyBorder="1" applyFont="1" applyNumberFormat="1">
      <alignment horizontal="center" shrinkToFit="0" vertical="bottom" wrapText="0"/>
    </xf>
    <xf borderId="0" fillId="0" fontId="1" numFmtId="0" xfId="0" applyAlignment="1" applyFont="1">
      <alignment horizontal="center" shrinkToFit="0" vertical="center" wrapText="0"/>
    </xf>
    <xf borderId="5" fillId="2" fontId="3" numFmtId="0" xfId="0" applyAlignment="1" applyBorder="1" applyFont="1">
      <alignment shrinkToFit="0" vertical="bottom" wrapText="0"/>
    </xf>
    <xf borderId="4" fillId="2" fontId="3" numFmtId="164" xfId="0" applyAlignment="1" applyBorder="1" applyFont="1" applyNumberFormat="1">
      <alignment horizontal="left" shrinkToFit="0" vertical="bottom" wrapText="0"/>
    </xf>
    <xf borderId="4" fillId="2" fontId="3" numFmtId="164" xfId="0" applyAlignment="1" applyBorder="1" applyFont="1" applyNumberFormat="1">
      <alignment shrinkToFit="0" vertical="bottom" wrapText="0"/>
    </xf>
    <xf borderId="4" fillId="2" fontId="3" numFmtId="164" xfId="0" applyAlignment="1" applyBorder="1" applyFont="1" applyNumberFormat="1">
      <alignment horizontal="center" shrinkToFit="0" vertical="bottom" wrapText="0"/>
    </xf>
    <xf borderId="4" fillId="2" fontId="3" numFmtId="166" xfId="0" applyAlignment="1" applyBorder="1" applyFont="1" applyNumberFormat="1">
      <alignment horizontal="center" shrinkToFit="0" vertical="bottom" wrapText="0"/>
    </xf>
    <xf borderId="4" fillId="4" fontId="1" numFmtId="0" xfId="0" applyAlignment="1" applyBorder="1" applyFill="1" applyFont="1">
      <alignment horizontal="center" shrinkToFit="0" vertical="bottom" wrapText="0"/>
    </xf>
    <xf borderId="5" fillId="4" fontId="1" numFmtId="0" xfId="0" applyAlignment="1" applyBorder="1" applyFont="1">
      <alignment shrinkToFit="0" vertical="bottom" wrapText="0"/>
    </xf>
    <xf borderId="4" fillId="4" fontId="1" numFmtId="164" xfId="0" applyAlignment="1" applyBorder="1" applyFont="1" applyNumberFormat="1">
      <alignment horizontal="center" shrinkToFit="0" vertical="top" wrapText="1"/>
    </xf>
    <xf borderId="4" fillId="4" fontId="1" numFmtId="164" xfId="0" applyAlignment="1" applyBorder="1" applyFont="1" applyNumberForma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4" fillId="0" fontId="3" numFmtId="0" xfId="0" applyAlignment="1" applyBorder="1" applyFont="1">
      <alignment horizontal="center" shrinkToFit="0" vertical="bottom" wrapText="0"/>
    </xf>
    <xf borderId="2" fillId="0" fontId="3" numFmtId="0" xfId="0" applyAlignment="1" applyBorder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4" fillId="0" fontId="3" numFmtId="164" xfId="0" applyAlignment="1" applyBorder="1" applyFont="1" applyNumberFormat="1">
      <alignment shrinkToFit="0" vertical="bottom" wrapText="0"/>
    </xf>
    <xf borderId="4" fillId="0" fontId="3" numFmtId="10" xfId="0" applyAlignment="1" applyBorder="1" applyFont="1" applyNumberFormat="1">
      <alignment shrinkToFit="0" vertical="bottom" wrapText="0"/>
    </xf>
    <xf borderId="0" fillId="0" fontId="3" numFmtId="165" xfId="0" applyAlignment="1" applyFont="1" applyNumberFormat="1">
      <alignment shrinkToFit="0" vertical="bottom" wrapText="0"/>
    </xf>
    <xf borderId="4" fillId="4" fontId="1" numFmtId="0" xfId="0" applyAlignment="1" applyBorder="1" applyFont="1">
      <alignment shrinkToFit="0" vertical="bottom" wrapText="0"/>
    </xf>
    <xf borderId="4" fillId="4" fontId="1" numFmtId="164" xfId="0" applyAlignment="1" applyBorder="1" applyFont="1" applyNumberForma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4" fillId="4" fontId="3" numFmtId="0" xfId="0" applyAlignment="1" applyBorder="1" applyFont="1">
      <alignment horizontal="center" shrinkToFit="0" vertical="bottom" wrapText="0"/>
    </xf>
    <xf borderId="4" fillId="0" fontId="3" numFmtId="0" xfId="0" applyAlignment="1" applyBorder="1" applyFont="1">
      <alignment horizontal="center" shrinkToFit="0" vertical="center" wrapText="0"/>
    </xf>
    <xf borderId="5" fillId="4" fontId="1" numFmtId="0" xfId="0" applyAlignment="1" applyBorder="1" applyFont="1">
      <alignment horizontal="left" shrinkToFit="0" vertical="top" wrapText="1"/>
    </xf>
    <xf borderId="4" fillId="4" fontId="3" numFmtId="164" xfId="0" applyAlignment="1" applyBorder="1" applyFont="1" applyNumberFormat="1">
      <alignment shrinkToFit="0" vertical="bottom" wrapText="0"/>
    </xf>
    <xf borderId="4" fillId="4" fontId="1" numFmtId="10" xfId="0" applyAlignment="1" applyBorder="1" applyFont="1" applyNumberFormat="1">
      <alignment shrinkToFit="0" vertical="bottom" wrapText="0"/>
    </xf>
    <xf borderId="0" fillId="0" fontId="3" numFmtId="10" xfId="0" applyAlignment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4" fillId="0" fontId="3" numFmtId="165" xfId="0" applyAlignment="1" applyBorder="1" applyFont="1" applyNumberFormat="1">
      <alignment shrinkToFit="0" vertical="bottom" wrapText="0"/>
    </xf>
    <xf borderId="4" fillId="4" fontId="3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4" fillId="2" fontId="1" numFmtId="164" xfId="0" applyAlignment="1" applyBorder="1" applyFont="1" applyNumberFormat="1">
      <alignment shrinkToFit="0" vertical="bottom" wrapText="0"/>
    </xf>
    <xf borderId="4" fillId="4" fontId="1" numFmtId="0" xfId="0" applyAlignment="1" applyBorder="1" applyFont="1">
      <alignment horizontal="center" shrinkToFit="0" vertical="top" wrapText="1"/>
    </xf>
    <xf borderId="4" fillId="4" fontId="1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horizontal="left" shrinkToFit="0" vertical="top" wrapText="1"/>
    </xf>
    <xf borderId="4" fillId="4" fontId="1" numFmtId="164" xfId="0" applyAlignment="1" applyBorder="1" applyFont="1" applyNumberFormat="1">
      <alignment shrinkToFit="0" vertical="top" wrapText="1"/>
    </xf>
    <xf borderId="0" fillId="0" fontId="3" numFmtId="0" xfId="0" applyAlignment="1" applyFont="1">
      <alignment horizontal="left" shrinkToFit="0" vertical="bottom" wrapText="1"/>
    </xf>
    <xf borderId="4" fillId="4" fontId="3" numFmtId="0" xfId="0" applyAlignment="1" applyBorder="1" applyFont="1">
      <alignment horizontal="left" shrinkToFit="0" vertical="top" wrapText="1"/>
    </xf>
    <xf borderId="0" fillId="0" fontId="1" numFmtId="164" xfId="0" applyAlignment="1" applyFont="1" applyNumberFormat="1">
      <alignment horizontal="center" shrinkToFit="0" vertical="top" wrapText="1"/>
    </xf>
    <xf borderId="4" fillId="0" fontId="3" numFmtId="0" xfId="0" applyAlignment="1" applyBorder="1" applyFont="1">
      <alignment horizontal="center" shrinkToFit="0" vertical="top" wrapText="1"/>
    </xf>
    <xf borderId="4" fillId="0" fontId="3" numFmtId="0" xfId="0" applyAlignment="1" applyBorder="1" applyFont="1">
      <alignment horizontal="left" shrinkToFit="0" vertical="top" wrapText="1"/>
    </xf>
    <xf borderId="4" fillId="4" fontId="1" numFmtId="0" xfId="0" applyAlignment="1" applyBorder="1" applyFont="1">
      <alignment horizontal="left" shrinkToFit="0" vertical="top" wrapText="1"/>
    </xf>
    <xf borderId="0" fillId="0" fontId="3" numFmtId="0" xfId="0" applyAlignment="1" applyFont="1">
      <alignment horizontal="center" shrinkToFit="0" vertical="center" wrapText="0"/>
    </xf>
    <xf borderId="4" fillId="4" fontId="3" numFmtId="0" xfId="0" applyAlignment="1" applyBorder="1" applyFont="1">
      <alignment horizontal="center" shrinkToFit="0" vertical="center" wrapText="0"/>
    </xf>
    <xf borderId="1" fillId="4" fontId="3" numFmtId="0" xfId="0" applyAlignment="1" applyBorder="1" applyFont="1">
      <alignment horizontal="center" shrinkToFit="0" vertical="center" wrapText="0"/>
    </xf>
    <xf borderId="4" fillId="4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shrinkToFit="0" vertical="center" wrapText="0"/>
    </xf>
    <xf borderId="4" fillId="0" fontId="3" numFmtId="167" xfId="0" applyAlignment="1" applyBorder="1" applyFont="1" applyNumberFormat="1">
      <alignment shrinkToFit="0" vertical="bottom" wrapText="0"/>
    </xf>
    <xf borderId="7" fillId="0" fontId="2" numFmtId="0" xfId="0" applyBorder="1" applyFont="1"/>
    <xf borderId="0" fillId="0" fontId="1" numFmtId="165" xfId="0" applyAlignment="1" applyFont="1" applyNumberFormat="1">
      <alignment shrinkToFit="0" vertical="bottom" wrapText="0"/>
    </xf>
    <xf borderId="6" fillId="0" fontId="3" numFmtId="0" xfId="0" applyAlignment="1" applyBorder="1" applyFont="1">
      <alignment horizontal="center" shrinkToFit="0" vertical="center" wrapText="1"/>
    </xf>
    <xf borderId="0" fillId="0" fontId="3" numFmtId="167" xfId="0" applyAlignment="1" applyFont="1" applyNumberFormat="1">
      <alignment shrinkToFit="0" vertical="bottom" wrapText="0"/>
    </xf>
    <xf borderId="1" fillId="0" fontId="3" numFmtId="0" xfId="0" applyAlignment="1" applyBorder="1" applyFont="1">
      <alignment horizontal="center" shrinkToFit="0" vertical="center" wrapText="0"/>
    </xf>
    <xf borderId="4" fillId="0" fontId="3" numFmtId="0" xfId="0" applyAlignment="1" applyBorder="1" applyFont="1">
      <alignment horizontal="center" shrinkToFit="0" vertical="center" wrapText="1"/>
    </xf>
    <xf borderId="4" fillId="0" fontId="3" numFmtId="4" xfId="0" applyAlignment="1" applyBorder="1" applyFont="1" applyNumberFormat="1">
      <alignment horizontal="center" shrinkToFit="0" vertical="bottom" wrapText="0"/>
    </xf>
    <xf borderId="4" fillId="0" fontId="3" numFmtId="168" xfId="0" applyAlignment="1" applyBorder="1" applyFont="1" applyNumberFormat="1">
      <alignment shrinkToFit="0" vertical="bottom" wrapText="0"/>
    </xf>
    <xf borderId="1" fillId="5" fontId="1" numFmtId="0" xfId="0" applyAlignment="1" applyBorder="1" applyFill="1" applyFont="1">
      <alignment horizontal="center" shrinkToFit="0" vertical="bottom" wrapText="0"/>
    </xf>
    <xf borderId="4" fillId="6" fontId="3" numFmtId="0" xfId="0" applyAlignment="1" applyBorder="1" applyFill="1" applyFont="1">
      <alignment horizontal="center" shrinkToFit="0" vertical="center" wrapText="1"/>
    </xf>
    <xf borderId="4" fillId="7" fontId="3" numFmtId="0" xfId="0" applyAlignment="1" applyBorder="1" applyFill="1" applyFont="1">
      <alignment horizontal="center" shrinkToFit="0" vertical="center" wrapText="1"/>
    </xf>
    <xf borderId="4" fillId="7" fontId="3" numFmtId="164" xfId="0" applyAlignment="1" applyBorder="1" applyFont="1" applyNumberFormat="1">
      <alignment horizontal="center" shrinkToFit="0" vertical="center" wrapText="0"/>
    </xf>
    <xf borderId="6" fillId="0" fontId="4" numFmtId="0" xfId="0" applyAlignment="1" applyBorder="1" applyFont="1">
      <alignment horizontal="center" shrinkToFit="0" vertical="center" wrapText="1"/>
    </xf>
    <xf borderId="4" fillId="6" fontId="3" numFmtId="169" xfId="0" applyAlignment="1" applyBorder="1" applyFont="1" applyNumberFormat="1">
      <alignment horizontal="center" shrinkToFit="0" vertical="center" wrapText="0"/>
    </xf>
    <xf borderId="4" fillId="7" fontId="3" numFmtId="170" xfId="0" applyAlignment="1" applyBorder="1" applyFont="1" applyNumberFormat="1">
      <alignment horizontal="center" shrinkToFit="0" vertical="center" wrapText="0"/>
    </xf>
    <xf borderId="4" fillId="7" fontId="3" numFmtId="169" xfId="0" applyAlignment="1" applyBorder="1" applyFont="1" applyNumberFormat="1">
      <alignment horizontal="center" shrinkToFit="0" vertical="center" wrapText="0"/>
    </xf>
    <xf borderId="8" fillId="0" fontId="2" numFmtId="0" xfId="0" applyBorder="1" applyFont="1"/>
    <xf borderId="4" fillId="6" fontId="3" numFmtId="165" xfId="0" applyAlignment="1" applyBorder="1" applyFont="1" applyNumberFormat="1">
      <alignment horizontal="center" shrinkToFit="0" vertical="center" wrapText="0"/>
    </xf>
    <xf borderId="7" fillId="0" fontId="3" numFmtId="0" xfId="0" applyAlignment="1" applyBorder="1" applyFont="1">
      <alignment horizontal="center" shrinkToFit="0" vertical="center" wrapText="0"/>
    </xf>
    <xf borderId="4" fillId="0" fontId="4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left" shrinkToFit="0" vertical="bottom" wrapText="0"/>
    </xf>
    <xf borderId="4" fillId="0" fontId="1" numFmtId="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42.0"/>
    <col customWidth="1" min="3" max="4" width="11.25"/>
    <col customWidth="1" min="5" max="7" width="14.13"/>
    <col customWidth="1" min="8" max="8" width="13.0"/>
    <col customWidth="1" min="9" max="13" width="10.5"/>
    <col customWidth="1" min="14" max="28" width="8.88"/>
  </cols>
  <sheetData>
    <row r="1" ht="13.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ht="13.5" customHeight="1">
      <c r="A2" s="5"/>
      <c r="B2" s="4"/>
      <c r="C2" s="4"/>
      <c r="D2" s="4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13.5" customHeight="1">
      <c r="A3" s="5"/>
      <c r="B3" s="7" t="s">
        <v>1</v>
      </c>
      <c r="C3" s="8"/>
      <c r="D3" s="2"/>
      <c r="E3" s="3"/>
      <c r="F3" s="9"/>
      <c r="G3" s="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13.5" customHeight="1">
      <c r="A4" s="5"/>
      <c r="B4" s="10" t="s">
        <v>2</v>
      </c>
      <c r="C4" s="8"/>
      <c r="D4" s="2"/>
      <c r="E4" s="3"/>
      <c r="F4" s="9"/>
      <c r="G4" s="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ht="13.5" customHeight="1">
      <c r="A5" s="5"/>
      <c r="B5" s="4"/>
      <c r="C5" s="4"/>
      <c r="D5" s="4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ht="13.5" customHeight="1">
      <c r="A6" s="5"/>
      <c r="B6" s="4" t="s">
        <v>3</v>
      </c>
      <c r="C6" s="4"/>
      <c r="D6" s="4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ht="13.5" customHeight="1">
      <c r="A7" s="5"/>
      <c r="B7" s="4"/>
      <c r="C7" s="4"/>
      <c r="D7" s="4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ht="13.5" customHeight="1">
      <c r="A8" s="5"/>
      <c r="B8" s="4" t="s">
        <v>4</v>
      </c>
      <c r="C8" s="4"/>
      <c r="D8" s="4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ht="13.5" customHeight="1">
      <c r="A9" s="5"/>
      <c r="B9" s="4"/>
      <c r="C9" s="4"/>
      <c r="D9" s="4"/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ht="13.5" customHeight="1">
      <c r="A10" s="11" t="s">
        <v>5</v>
      </c>
      <c r="B10" s="10" t="s">
        <v>6</v>
      </c>
      <c r="C10" s="8"/>
      <c r="D10" s="2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ht="13.5" customHeight="1">
      <c r="A11" s="11" t="s">
        <v>7</v>
      </c>
      <c r="B11" s="10" t="s">
        <v>8</v>
      </c>
      <c r="C11" s="12" t="s">
        <v>9</v>
      </c>
      <c r="D11" s="2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ht="13.5" customHeight="1">
      <c r="A12" s="11" t="s">
        <v>10</v>
      </c>
      <c r="B12" s="10" t="s">
        <v>11</v>
      </c>
      <c r="C12" s="12" t="s">
        <v>12</v>
      </c>
      <c r="D12" s="2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ht="13.5" customHeight="1">
      <c r="A13" s="11" t="s">
        <v>13</v>
      </c>
      <c r="B13" s="10" t="s">
        <v>14</v>
      </c>
      <c r="C13" s="12">
        <v>12.0</v>
      </c>
      <c r="D13" s="2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ht="13.5" customHeight="1">
      <c r="A14" s="5"/>
      <c r="B14" s="4"/>
      <c r="C14" s="4"/>
      <c r="D14" s="4"/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ht="13.5" customHeight="1">
      <c r="A15" s="5"/>
      <c r="B15" s="4" t="s">
        <v>15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ht="13.5" customHeight="1">
      <c r="A16" s="5"/>
      <c r="B16" s="12" t="s">
        <v>16</v>
      </c>
      <c r="C16" s="2"/>
      <c r="D16" s="2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ht="13.5" customHeight="1">
      <c r="A17" s="5"/>
      <c r="B17" s="12" t="s">
        <v>17</v>
      </c>
      <c r="C17" s="2"/>
      <c r="D17" s="3"/>
      <c r="E17" s="11">
        <v>4.0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ht="13.5" customHeight="1">
      <c r="A18" s="5"/>
      <c r="B18" s="12" t="s">
        <v>18</v>
      </c>
      <c r="C18" s="2"/>
      <c r="D18" s="3"/>
      <c r="E18" s="11">
        <v>1.0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ht="13.5" customHeight="1">
      <c r="A19" s="5"/>
      <c r="B19" s="12" t="s">
        <v>19</v>
      </c>
      <c r="C19" s="2"/>
      <c r="D19" s="3"/>
      <c r="E19" s="13">
        <v>22.0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ht="13.5" customHeight="1">
      <c r="A20" s="5"/>
      <c r="B20" s="12" t="s">
        <v>20</v>
      </c>
      <c r="C20" s="2"/>
      <c r="D20" s="3"/>
      <c r="E20" s="11">
        <v>44.0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ht="13.5" customHeight="1">
      <c r="A21" s="5"/>
      <c r="B21" s="12" t="s">
        <v>21</v>
      </c>
      <c r="C21" s="2"/>
      <c r="D21" s="3"/>
      <c r="E21" s="14">
        <v>4.95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ht="13.5" customHeight="1">
      <c r="A22" s="5"/>
      <c r="B22" s="12" t="s">
        <v>22</v>
      </c>
      <c r="C22" s="2"/>
      <c r="D22" s="3"/>
      <c r="E22" s="15">
        <v>21.27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13.5" customHeight="1">
      <c r="A23" s="5"/>
      <c r="B23" s="4"/>
      <c r="C23" s="4"/>
      <c r="D23" s="4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13.5" customHeight="1">
      <c r="A24" s="16" t="s">
        <v>23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ht="13.5" customHeight="1">
      <c r="A25" s="5"/>
      <c r="B25" s="4"/>
      <c r="C25" s="4"/>
      <c r="D25" s="4"/>
      <c r="E25" s="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ht="13.5" customHeight="1">
      <c r="A26" s="11">
        <v>1.0</v>
      </c>
      <c r="B26" s="17" t="s">
        <v>24</v>
      </c>
      <c r="C26" s="17"/>
      <c r="D26" s="17"/>
      <c r="E26" s="18" t="s">
        <v>25</v>
      </c>
      <c r="F26" s="18" t="s">
        <v>26</v>
      </c>
      <c r="G26" s="18" t="s">
        <v>27</v>
      </c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ht="13.5" customHeight="1">
      <c r="A27" s="11">
        <v>2.0</v>
      </c>
      <c r="B27" s="17" t="s">
        <v>28</v>
      </c>
      <c r="C27" s="17"/>
      <c r="D27" s="17"/>
      <c r="E27" s="19"/>
      <c r="F27" s="19"/>
      <c r="G27" s="19"/>
      <c r="H27" s="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ht="13.5" customHeight="1">
      <c r="A28" s="11">
        <v>3.0</v>
      </c>
      <c r="B28" s="17" t="s">
        <v>29</v>
      </c>
      <c r="C28" s="17"/>
      <c r="D28" s="17"/>
      <c r="E28" s="20">
        <v>1401.16</v>
      </c>
      <c r="F28" s="20">
        <v>1401.16</v>
      </c>
      <c r="G28" s="20">
        <v>1565.76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ht="13.5" customHeight="1">
      <c r="A29" s="11">
        <v>4.0</v>
      </c>
      <c r="B29" s="17" t="s">
        <v>30</v>
      </c>
      <c r="C29" s="17"/>
      <c r="D29" s="17"/>
      <c r="E29" s="20"/>
      <c r="F29" s="20"/>
      <c r="G29" s="2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ht="13.5" customHeight="1">
      <c r="A30" s="11">
        <v>5.0</v>
      </c>
      <c r="B30" s="17" t="s">
        <v>31</v>
      </c>
      <c r="C30" s="17"/>
      <c r="D30" s="17"/>
      <c r="E30" s="21">
        <v>44927.0</v>
      </c>
      <c r="F30" s="21">
        <v>44927.0</v>
      </c>
      <c r="G30" s="21">
        <v>44927.0</v>
      </c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ht="13.5" customHeight="1">
      <c r="A31" s="5"/>
      <c r="B31" s="4"/>
      <c r="C31" s="4"/>
      <c r="D31" s="4"/>
      <c r="E31" s="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13.5" customHeight="1">
      <c r="A32" s="5"/>
      <c r="B32" s="4" t="s">
        <v>32</v>
      </c>
      <c r="C32" s="4"/>
      <c r="D32" s="4"/>
      <c r="E32" s="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ht="13.5" customHeight="1">
      <c r="A33" s="22">
        <v>1.0</v>
      </c>
      <c r="B33" s="23" t="s">
        <v>33</v>
      </c>
      <c r="C33" s="23"/>
      <c r="D33" s="24" t="s">
        <v>34</v>
      </c>
      <c r="E33" s="25" t="s">
        <v>35</v>
      </c>
      <c r="F33" s="25" t="s">
        <v>35</v>
      </c>
      <c r="G33" s="25" t="s">
        <v>35</v>
      </c>
      <c r="H33" s="2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ht="13.5" customHeight="1">
      <c r="A34" s="27" t="s">
        <v>5</v>
      </c>
      <c r="B34" s="28" t="s">
        <v>36</v>
      </c>
      <c r="C34" s="28"/>
      <c r="D34" s="29"/>
      <c r="E34" s="30">
        <f t="shared" ref="E34:G34" si="1">E28</f>
        <v>1401.16</v>
      </c>
      <c r="F34" s="30">
        <f t="shared" si="1"/>
        <v>1401.16</v>
      </c>
      <c r="G34" s="30">
        <f t="shared" si="1"/>
        <v>1565.76</v>
      </c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ht="13.5" customHeight="1">
      <c r="A35" s="27" t="s">
        <v>7</v>
      </c>
      <c r="B35" s="28" t="s">
        <v>37</v>
      </c>
      <c r="C35" s="28"/>
      <c r="D35" s="31">
        <v>0.3</v>
      </c>
      <c r="E35" s="30">
        <v>0.0</v>
      </c>
      <c r="F35" s="30">
        <f>F34*D35</f>
        <v>420.348</v>
      </c>
      <c r="G35" s="30">
        <v>0.0</v>
      </c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13.5" customHeight="1">
      <c r="A36" s="27" t="s">
        <v>10</v>
      </c>
      <c r="B36" s="28" t="s">
        <v>38</v>
      </c>
      <c r="C36" s="28"/>
      <c r="D36" s="31">
        <v>0.2</v>
      </c>
      <c r="E36" s="30">
        <f>E34*D36</f>
        <v>280.232</v>
      </c>
      <c r="F36" s="30">
        <v>0.0</v>
      </c>
      <c r="G36" s="30">
        <f>G34*D36</f>
        <v>313.152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ht="13.5" customHeight="1">
      <c r="A37" s="27" t="s">
        <v>13</v>
      </c>
      <c r="B37" s="28" t="s">
        <v>39</v>
      </c>
      <c r="C37" s="28"/>
      <c r="D37" s="31"/>
      <c r="E37" s="30">
        <v>0.0</v>
      </c>
      <c r="F37" s="30">
        <v>0.0</v>
      </c>
      <c r="G37" s="30">
        <v>0.0</v>
      </c>
      <c r="H37" s="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ht="13.5" customHeight="1">
      <c r="A38" s="27" t="s">
        <v>40</v>
      </c>
      <c r="B38" s="28" t="s">
        <v>41</v>
      </c>
      <c r="C38" s="28"/>
      <c r="D38" s="29"/>
      <c r="E38" s="30">
        <v>0.0</v>
      </c>
      <c r="F38" s="30">
        <v>0.0</v>
      </c>
      <c r="G38" s="30">
        <v>0.0</v>
      </c>
      <c r="H38" s="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ht="13.5" customHeight="1">
      <c r="A39" s="27" t="s">
        <v>42</v>
      </c>
      <c r="B39" s="28" t="s">
        <v>43</v>
      </c>
      <c r="C39" s="28"/>
      <c r="D39" s="29"/>
      <c r="E39" s="30">
        <v>0.0</v>
      </c>
      <c r="F39" s="30">
        <v>0.0</v>
      </c>
      <c r="G39" s="30">
        <v>0.0</v>
      </c>
      <c r="H39" s="6"/>
      <c r="I39" s="4"/>
      <c r="J39" s="4"/>
      <c r="K39" s="4"/>
      <c r="L39" s="3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13.5" customHeight="1">
      <c r="A40" s="22"/>
      <c r="B40" s="23" t="s">
        <v>44</v>
      </c>
      <c r="C40" s="23"/>
      <c r="D40" s="33"/>
      <c r="E40" s="34">
        <f t="shared" ref="E40:G40" si="2">SUM(E34:E39)</f>
        <v>1681.392</v>
      </c>
      <c r="F40" s="34">
        <f t="shared" si="2"/>
        <v>1821.508</v>
      </c>
      <c r="G40" s="34">
        <f t="shared" si="2"/>
        <v>1878.912</v>
      </c>
      <c r="H40" s="35"/>
      <c r="I40" s="4"/>
      <c r="J40" s="4"/>
      <c r="K40" s="4"/>
      <c r="L40" s="3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13.5" customHeight="1">
      <c r="A41" s="5"/>
      <c r="B41" s="4"/>
      <c r="C41" s="4"/>
      <c r="D41" s="4"/>
      <c r="E41" s="6"/>
      <c r="F41" s="4"/>
      <c r="G41" s="4"/>
      <c r="H41" s="4"/>
      <c r="I41" s="4"/>
      <c r="J41" s="4"/>
      <c r="K41" s="4"/>
      <c r="L41" s="3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ht="13.5" customHeight="1">
      <c r="A42" s="5"/>
      <c r="B42" s="4" t="s">
        <v>45</v>
      </c>
      <c r="C42" s="4"/>
      <c r="D42" s="4"/>
      <c r="E42" s="6"/>
      <c r="F42" s="4"/>
      <c r="G42" s="4"/>
      <c r="H42" s="4"/>
      <c r="I42" s="4"/>
      <c r="J42" s="4"/>
      <c r="K42" s="4"/>
      <c r="L42" s="3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13.5" customHeight="1">
      <c r="A43" s="5"/>
      <c r="B43" s="4" t="s">
        <v>46</v>
      </c>
      <c r="C43" s="4"/>
      <c r="D43" s="4"/>
      <c r="E43" s="6"/>
      <c r="F43" s="4"/>
      <c r="G43" s="4"/>
      <c r="H43" s="4"/>
      <c r="I43" s="4"/>
      <c r="J43" s="4"/>
      <c r="K43" s="4"/>
      <c r="L43" s="3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ht="13.5" customHeight="1">
      <c r="A44" s="22" t="s">
        <v>47</v>
      </c>
      <c r="B44" s="23" t="s">
        <v>48</v>
      </c>
      <c r="C44" s="23"/>
      <c r="D44" s="24" t="s">
        <v>34</v>
      </c>
      <c r="E44" s="36" t="s">
        <v>35</v>
      </c>
      <c r="F44" s="36" t="s">
        <v>35</v>
      </c>
      <c r="G44" s="36" t="s">
        <v>35</v>
      </c>
      <c r="H44" s="5"/>
      <c r="I44" s="4"/>
      <c r="J44" s="4"/>
      <c r="K44" s="4"/>
      <c r="L44" s="32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13.5" customHeight="1">
      <c r="A45" s="27" t="s">
        <v>5</v>
      </c>
      <c r="B45" s="28" t="s">
        <v>49</v>
      </c>
      <c r="C45" s="28"/>
      <c r="D45" s="31">
        <v>0.0833</v>
      </c>
      <c r="E45" s="30">
        <f>E40*D45</f>
        <v>140.0599536</v>
      </c>
      <c r="F45" s="30">
        <f>F40*D45</f>
        <v>151.7316164</v>
      </c>
      <c r="G45" s="30">
        <f>G40*D45</f>
        <v>156.5133696</v>
      </c>
      <c r="H45" s="6"/>
      <c r="I45" s="4"/>
      <c r="J45" s="4"/>
      <c r="K45" s="4"/>
      <c r="L45" s="3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13.5" customHeight="1">
      <c r="A46" s="37" t="s">
        <v>7</v>
      </c>
      <c r="B46" s="28" t="s">
        <v>50</v>
      </c>
      <c r="C46" s="28"/>
      <c r="D46" s="31">
        <v>0.1111</v>
      </c>
      <c r="E46" s="30">
        <f>E45*D46</f>
        <v>15.56066084</v>
      </c>
      <c r="F46" s="30">
        <f>F45*D46</f>
        <v>16.85738258</v>
      </c>
      <c r="G46" s="30">
        <f>G45*D46</f>
        <v>17.38863536</v>
      </c>
      <c r="H46" s="6"/>
      <c r="I46" s="4"/>
      <c r="J46" s="4"/>
      <c r="K46" s="4"/>
      <c r="L46" s="32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13.5" customHeight="1">
      <c r="A47" s="36"/>
      <c r="B47" s="38" t="s">
        <v>44</v>
      </c>
      <c r="C47" s="38"/>
      <c r="D47" s="39"/>
      <c r="E47" s="34">
        <f t="shared" ref="E47:G47" si="3">SUM(E45:E46)</f>
        <v>155.6206144</v>
      </c>
      <c r="F47" s="34">
        <f t="shared" si="3"/>
        <v>168.588999</v>
      </c>
      <c r="G47" s="34">
        <f t="shared" si="3"/>
        <v>173.902005</v>
      </c>
      <c r="H47" s="35"/>
      <c r="I47" s="4"/>
      <c r="J47" s="4"/>
      <c r="K47" s="4"/>
      <c r="L47" s="3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ht="13.5" customHeight="1">
      <c r="A48" s="5"/>
      <c r="B48" s="4"/>
      <c r="C48" s="4"/>
      <c r="D48" s="4"/>
      <c r="E48" s="6"/>
      <c r="F48" s="4"/>
      <c r="G48" s="4"/>
      <c r="H48" s="4"/>
      <c r="I48" s="4"/>
      <c r="J48" s="4"/>
      <c r="K48" s="4"/>
      <c r="L48" s="3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ht="13.5" customHeight="1">
      <c r="A49" s="5"/>
      <c r="B49" s="4" t="s">
        <v>51</v>
      </c>
      <c r="C49" s="4"/>
      <c r="D49" s="4"/>
      <c r="E49" s="6"/>
      <c r="F49" s="4"/>
      <c r="G49" s="4"/>
      <c r="H49" s="4"/>
      <c r="I49" s="4"/>
      <c r="J49" s="4"/>
      <c r="K49" s="4"/>
      <c r="L49" s="3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ht="13.5" customHeight="1">
      <c r="A50" s="22" t="s">
        <v>52</v>
      </c>
      <c r="B50" s="23" t="s">
        <v>53</v>
      </c>
      <c r="C50" s="23"/>
      <c r="D50" s="24" t="s">
        <v>34</v>
      </c>
      <c r="E50" s="25" t="s">
        <v>35</v>
      </c>
      <c r="F50" s="25" t="s">
        <v>35</v>
      </c>
      <c r="G50" s="25" t="s">
        <v>35</v>
      </c>
      <c r="H50" s="26"/>
      <c r="I50" s="4"/>
      <c r="J50" s="4"/>
      <c r="K50" s="4"/>
      <c r="L50" s="3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3.5" customHeight="1">
      <c r="A51" s="27" t="s">
        <v>5</v>
      </c>
      <c r="B51" s="28" t="s">
        <v>54</v>
      </c>
      <c r="C51" s="28"/>
      <c r="D51" s="31">
        <v>0.2</v>
      </c>
      <c r="E51" s="30">
        <f t="shared" ref="E51:E58" si="4">($E$40+$E$47)*D51</f>
        <v>367.4025229</v>
      </c>
      <c r="F51" s="30">
        <f t="shared" ref="F51:F58" si="5">($F$40+$F$47)*D51</f>
        <v>398.0193998</v>
      </c>
      <c r="G51" s="30">
        <f t="shared" ref="G51:G58" si="6">($G$40+$G$47)*D51</f>
        <v>410.562801</v>
      </c>
      <c r="H51" s="6"/>
      <c r="I51" s="4"/>
      <c r="J51" s="4"/>
      <c r="K51" s="4"/>
      <c r="L51" s="3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ht="13.5" customHeight="1">
      <c r="A52" s="27" t="s">
        <v>7</v>
      </c>
      <c r="B52" s="28" t="s">
        <v>55</v>
      </c>
      <c r="C52" s="28"/>
      <c r="D52" s="31">
        <v>0.025</v>
      </c>
      <c r="E52" s="30">
        <f t="shared" si="4"/>
        <v>45.92531536</v>
      </c>
      <c r="F52" s="30">
        <f t="shared" si="5"/>
        <v>49.75242497</v>
      </c>
      <c r="G52" s="30">
        <f t="shared" si="6"/>
        <v>51.32035012</v>
      </c>
      <c r="H52" s="6"/>
      <c r="I52" s="4"/>
      <c r="J52" s="4"/>
      <c r="K52" s="4"/>
      <c r="L52" s="3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ht="13.5" customHeight="1">
      <c r="A53" s="27" t="s">
        <v>10</v>
      </c>
      <c r="B53" s="28" t="s">
        <v>56</v>
      </c>
      <c r="C53" s="28"/>
      <c r="D53" s="31">
        <v>0.03</v>
      </c>
      <c r="E53" s="30">
        <f t="shared" si="4"/>
        <v>55.11037843</v>
      </c>
      <c r="F53" s="30">
        <f t="shared" si="5"/>
        <v>59.70290997</v>
      </c>
      <c r="G53" s="30">
        <f t="shared" si="6"/>
        <v>61.58442015</v>
      </c>
      <c r="H53" s="6"/>
      <c r="I53" s="4"/>
      <c r="J53" s="4"/>
      <c r="K53" s="4"/>
      <c r="L53" s="3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ht="13.5" customHeight="1">
      <c r="A54" s="27" t="s">
        <v>13</v>
      </c>
      <c r="B54" s="28" t="s">
        <v>57</v>
      </c>
      <c r="C54" s="28"/>
      <c r="D54" s="31">
        <v>0.015</v>
      </c>
      <c r="E54" s="30">
        <f t="shared" si="4"/>
        <v>27.55518922</v>
      </c>
      <c r="F54" s="30">
        <f t="shared" si="5"/>
        <v>29.85145498</v>
      </c>
      <c r="G54" s="30">
        <f t="shared" si="6"/>
        <v>30.79221007</v>
      </c>
      <c r="H54" s="6"/>
      <c r="I54" s="4"/>
      <c r="J54" s="4"/>
      <c r="K54" s="4"/>
      <c r="L54" s="3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ht="13.5" customHeight="1">
      <c r="A55" s="27" t="s">
        <v>40</v>
      </c>
      <c r="B55" s="28" t="s">
        <v>58</v>
      </c>
      <c r="C55" s="28"/>
      <c r="D55" s="31">
        <v>0.01</v>
      </c>
      <c r="E55" s="30">
        <f t="shared" si="4"/>
        <v>18.37012614</v>
      </c>
      <c r="F55" s="30">
        <f t="shared" si="5"/>
        <v>19.90096999</v>
      </c>
      <c r="G55" s="30">
        <f t="shared" si="6"/>
        <v>20.52814005</v>
      </c>
      <c r="H55" s="6"/>
      <c r="I55" s="4"/>
      <c r="J55" s="4"/>
      <c r="K55" s="4"/>
      <c r="L55" s="3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3.5" customHeight="1">
      <c r="A56" s="27" t="s">
        <v>42</v>
      </c>
      <c r="B56" s="28" t="s">
        <v>59</v>
      </c>
      <c r="C56" s="28"/>
      <c r="D56" s="31">
        <v>0.006</v>
      </c>
      <c r="E56" s="30">
        <f t="shared" si="4"/>
        <v>11.02207569</v>
      </c>
      <c r="F56" s="30">
        <f t="shared" si="5"/>
        <v>11.94058199</v>
      </c>
      <c r="G56" s="30">
        <f t="shared" si="6"/>
        <v>12.31688403</v>
      </c>
      <c r="H56" s="6"/>
      <c r="I56" s="4"/>
      <c r="J56" s="4"/>
      <c r="K56" s="4"/>
      <c r="L56" s="3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3.5" customHeight="1">
      <c r="A57" s="27" t="s">
        <v>60</v>
      </c>
      <c r="B57" s="28" t="s">
        <v>61</v>
      </c>
      <c r="C57" s="28"/>
      <c r="D57" s="31">
        <v>0.002</v>
      </c>
      <c r="E57" s="30">
        <f t="shared" si="4"/>
        <v>3.674025229</v>
      </c>
      <c r="F57" s="30">
        <f t="shared" si="5"/>
        <v>3.980193998</v>
      </c>
      <c r="G57" s="30">
        <f t="shared" si="6"/>
        <v>4.10562801</v>
      </c>
      <c r="H57" s="6"/>
      <c r="I57" s="4"/>
      <c r="J57" s="4"/>
      <c r="K57" s="4"/>
      <c r="L57" s="3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3.5" customHeight="1">
      <c r="A58" s="27" t="s">
        <v>62</v>
      </c>
      <c r="B58" s="28" t="s">
        <v>63</v>
      </c>
      <c r="C58" s="28"/>
      <c r="D58" s="31">
        <v>0.08</v>
      </c>
      <c r="E58" s="30">
        <f t="shared" si="4"/>
        <v>146.9610092</v>
      </c>
      <c r="F58" s="30">
        <f t="shared" si="5"/>
        <v>159.2077599</v>
      </c>
      <c r="G58" s="30">
        <f t="shared" si="6"/>
        <v>164.2251204</v>
      </c>
      <c r="H58" s="6"/>
      <c r="I58" s="4"/>
      <c r="J58" s="4"/>
      <c r="K58" s="4"/>
      <c r="L58" s="3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3.5" customHeight="1">
      <c r="A59" s="36"/>
      <c r="B59" s="23" t="s">
        <v>44</v>
      </c>
      <c r="C59" s="23"/>
      <c r="D59" s="40">
        <f t="shared" ref="D59:G59" si="7">SUM(D51:D58)</f>
        <v>0.368</v>
      </c>
      <c r="E59" s="34">
        <f t="shared" si="7"/>
        <v>676.0206421</v>
      </c>
      <c r="F59" s="34">
        <f t="shared" si="7"/>
        <v>732.3556956</v>
      </c>
      <c r="G59" s="34">
        <f t="shared" si="7"/>
        <v>755.4355538</v>
      </c>
      <c r="H59" s="35"/>
      <c r="I59" s="4"/>
      <c r="J59" s="4"/>
      <c r="K59" s="4"/>
      <c r="L59" s="3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3.5" customHeight="1">
      <c r="A60" s="5"/>
      <c r="B60" s="4"/>
      <c r="C60" s="4"/>
      <c r="D60" s="4"/>
      <c r="E60" s="41"/>
      <c r="F60" s="6"/>
      <c r="G60" s="6"/>
      <c r="H60" s="6"/>
      <c r="I60" s="4"/>
      <c r="J60" s="4"/>
      <c r="K60" s="4"/>
      <c r="L60" s="3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ht="13.5" customHeight="1">
      <c r="A61" s="5"/>
      <c r="B61" s="4" t="s">
        <v>64</v>
      </c>
      <c r="C61" s="4"/>
      <c r="D61" s="4"/>
      <c r="E61" s="6"/>
      <c r="F61" s="4"/>
      <c r="G61" s="4"/>
      <c r="H61" s="4"/>
      <c r="I61" s="4"/>
      <c r="J61" s="4"/>
      <c r="K61" s="4"/>
      <c r="L61" s="3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3.5" customHeight="1">
      <c r="A62" s="22" t="s">
        <v>65</v>
      </c>
      <c r="B62" s="23" t="s">
        <v>66</v>
      </c>
      <c r="C62" s="23"/>
      <c r="D62" s="24" t="s">
        <v>34</v>
      </c>
      <c r="E62" s="22" t="s">
        <v>35</v>
      </c>
      <c r="F62" s="22" t="s">
        <v>35</v>
      </c>
      <c r="G62" s="22" t="s">
        <v>35</v>
      </c>
      <c r="H62" s="42"/>
      <c r="I62" s="4"/>
      <c r="J62" s="4"/>
      <c r="K62" s="4"/>
      <c r="L62" s="3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3.5" customHeight="1">
      <c r="A63" s="27" t="s">
        <v>5</v>
      </c>
      <c r="B63" s="28" t="s">
        <v>67</v>
      </c>
      <c r="C63" s="28"/>
      <c r="D63" s="43">
        <v>4.95</v>
      </c>
      <c r="E63" s="30">
        <f>IF(E21=0,0,((E19*2)*E21)-(E34*0.06))</f>
        <v>133.7304</v>
      </c>
      <c r="F63" s="30">
        <f>IF(E21=0,0,((E19*2)*E21)-(F34*0.06))</f>
        <v>133.7304</v>
      </c>
      <c r="G63" s="30">
        <f>IF(E21=0,0,((E19*2)*E21)-(G34*0.06))</f>
        <v>123.8544</v>
      </c>
      <c r="H63" s="6"/>
      <c r="I63" s="4"/>
      <c r="J63" s="4"/>
      <c r="K63" s="4"/>
      <c r="L63" s="3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ht="13.5" customHeight="1">
      <c r="A64" s="27" t="s">
        <v>7</v>
      </c>
      <c r="B64" s="28" t="s">
        <v>68</v>
      </c>
      <c r="C64" s="28"/>
      <c r="D64" s="43">
        <v>21.27</v>
      </c>
      <c r="E64" s="30">
        <f>(E19*E22)-(E19*E22*0.01)</f>
        <v>463.2606</v>
      </c>
      <c r="F64" s="30">
        <f>(E19*E22)-(E19*E22*0.01)</f>
        <v>463.2606</v>
      </c>
      <c r="G64" s="30">
        <f>(E19*E22)-(E19*E22*0.01)</f>
        <v>463.2606</v>
      </c>
      <c r="H64" s="6"/>
      <c r="I64" s="4"/>
      <c r="J64" s="4"/>
      <c r="K64" s="4"/>
      <c r="L64" s="3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ht="13.5" customHeight="1">
      <c r="A65" s="27" t="s">
        <v>10</v>
      </c>
      <c r="B65" s="28" t="s">
        <v>69</v>
      </c>
      <c r="C65" s="28"/>
      <c r="D65" s="31"/>
      <c r="E65" s="30">
        <v>11.0</v>
      </c>
      <c r="F65" s="30">
        <v>11.0</v>
      </c>
      <c r="G65" s="30">
        <v>11.0</v>
      </c>
      <c r="H65" s="6"/>
      <c r="I65" s="4"/>
      <c r="J65" s="4"/>
      <c r="K65" s="4"/>
      <c r="L65" s="3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3.5" customHeight="1">
      <c r="A66" s="27" t="s">
        <v>13</v>
      </c>
      <c r="B66" s="28" t="s">
        <v>43</v>
      </c>
      <c r="C66" s="28"/>
      <c r="D66" s="31">
        <f>D68</f>
        <v>0.07</v>
      </c>
      <c r="E66" s="30">
        <f t="shared" ref="E66:G66" si="8">SUM(E67:E68)</f>
        <v>317.69744</v>
      </c>
      <c r="F66" s="30">
        <f t="shared" si="8"/>
        <v>327.50556</v>
      </c>
      <c r="G66" s="30">
        <f t="shared" si="8"/>
        <v>331.52384</v>
      </c>
      <c r="H66" s="6"/>
      <c r="I66" s="4"/>
      <c r="J66" s="4"/>
      <c r="K66" s="4"/>
      <c r="L66" s="3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3.5" customHeight="1">
      <c r="A67" s="27" t="s">
        <v>70</v>
      </c>
      <c r="B67" s="28" t="s">
        <v>71</v>
      </c>
      <c r="C67" s="28"/>
      <c r="D67" s="31"/>
      <c r="E67" s="30">
        <v>200.0</v>
      </c>
      <c r="F67" s="30">
        <v>200.0</v>
      </c>
      <c r="G67" s="30">
        <v>200.0</v>
      </c>
      <c r="H67" s="6"/>
      <c r="I67" s="4"/>
      <c r="J67" s="4"/>
      <c r="K67" s="4"/>
      <c r="L67" s="3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3.5" customHeight="1">
      <c r="A68" s="27" t="s">
        <v>72</v>
      </c>
      <c r="B68" s="28" t="s">
        <v>73</v>
      </c>
      <c r="C68" s="28"/>
      <c r="D68" s="31">
        <v>0.07</v>
      </c>
      <c r="E68" s="30">
        <f>E40*D68</f>
        <v>117.69744</v>
      </c>
      <c r="F68" s="30">
        <f>F40*D68</f>
        <v>127.50556</v>
      </c>
      <c r="G68" s="30">
        <f>G40*D68</f>
        <v>131.52384</v>
      </c>
      <c r="H68" s="6"/>
      <c r="I68" s="4"/>
      <c r="J68" s="4"/>
      <c r="K68" s="4"/>
      <c r="L68" s="3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ht="13.5" customHeight="1">
      <c r="A69" s="36"/>
      <c r="B69" s="23" t="s">
        <v>44</v>
      </c>
      <c r="C69" s="23"/>
      <c r="D69" s="33"/>
      <c r="E69" s="34">
        <f t="shared" ref="E69:G69" si="9">SUM(E63:E66)</f>
        <v>925.68844</v>
      </c>
      <c r="F69" s="34">
        <f t="shared" si="9"/>
        <v>935.49656</v>
      </c>
      <c r="G69" s="34">
        <f t="shared" si="9"/>
        <v>929.63884</v>
      </c>
      <c r="H69" s="35"/>
      <c r="I69" s="4"/>
      <c r="J69" s="4"/>
      <c r="K69" s="4"/>
      <c r="L69" s="3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ht="13.5" customHeight="1">
      <c r="A70" s="5"/>
      <c r="B70" s="4"/>
      <c r="C70" s="4"/>
      <c r="D70" s="4"/>
      <c r="E70" s="6"/>
      <c r="F70" s="4"/>
      <c r="G70" s="4"/>
      <c r="H70" s="4"/>
      <c r="I70" s="4"/>
      <c r="J70" s="4"/>
      <c r="K70" s="4"/>
      <c r="L70" s="3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ht="13.5" customHeight="1">
      <c r="A71" s="4"/>
      <c r="B71" s="4" t="s">
        <v>74</v>
      </c>
      <c r="C71" s="4"/>
      <c r="D71" s="4"/>
      <c r="E71" s="4"/>
      <c r="F71" s="4"/>
      <c r="G71" s="4"/>
      <c r="H71" s="4"/>
      <c r="I71" s="4"/>
      <c r="J71" s="4"/>
      <c r="K71" s="4"/>
      <c r="L71" s="3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ht="13.5" customHeight="1">
      <c r="A72" s="22">
        <v>2.0</v>
      </c>
      <c r="B72" s="23" t="s">
        <v>75</v>
      </c>
      <c r="C72" s="23"/>
      <c r="D72" s="24" t="s">
        <v>34</v>
      </c>
      <c r="E72" s="25" t="s">
        <v>35</v>
      </c>
      <c r="F72" s="25" t="s">
        <v>35</v>
      </c>
      <c r="G72" s="25" t="s">
        <v>35</v>
      </c>
      <c r="H72" s="26"/>
      <c r="I72" s="4"/>
      <c r="J72" s="4"/>
      <c r="K72" s="4"/>
      <c r="L72" s="3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ht="13.5" customHeight="1">
      <c r="A73" s="27" t="s">
        <v>47</v>
      </c>
      <c r="B73" s="28" t="s">
        <v>48</v>
      </c>
      <c r="C73" s="28"/>
      <c r="D73" s="29"/>
      <c r="E73" s="30">
        <f t="shared" ref="E73:G73" si="10">E47</f>
        <v>155.6206144</v>
      </c>
      <c r="F73" s="30">
        <f t="shared" si="10"/>
        <v>168.588999</v>
      </c>
      <c r="G73" s="30">
        <f t="shared" si="10"/>
        <v>173.902005</v>
      </c>
      <c r="H73" s="6"/>
      <c r="I73" s="4"/>
      <c r="J73" s="4"/>
      <c r="K73" s="4"/>
      <c r="L73" s="3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ht="13.5" customHeight="1">
      <c r="A74" s="27" t="s">
        <v>52</v>
      </c>
      <c r="B74" s="28" t="s">
        <v>53</v>
      </c>
      <c r="C74" s="28"/>
      <c r="D74" s="29"/>
      <c r="E74" s="30">
        <f t="shared" ref="E74:G74" si="11">E59</f>
        <v>676.0206421</v>
      </c>
      <c r="F74" s="30">
        <f t="shared" si="11"/>
        <v>732.3556956</v>
      </c>
      <c r="G74" s="30">
        <f t="shared" si="11"/>
        <v>755.4355538</v>
      </c>
      <c r="H74" s="6"/>
      <c r="I74" s="4"/>
      <c r="J74" s="4"/>
      <c r="K74" s="4"/>
      <c r="L74" s="3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ht="13.5" customHeight="1">
      <c r="A75" s="27" t="s">
        <v>65</v>
      </c>
      <c r="B75" s="28" t="s">
        <v>66</v>
      </c>
      <c r="C75" s="28"/>
      <c r="D75" s="29"/>
      <c r="E75" s="30">
        <f t="shared" ref="E75:G75" si="12">E69</f>
        <v>925.68844</v>
      </c>
      <c r="F75" s="30">
        <f t="shared" si="12"/>
        <v>935.49656</v>
      </c>
      <c r="G75" s="30">
        <f t="shared" si="12"/>
        <v>929.63884</v>
      </c>
      <c r="H75" s="6"/>
      <c r="I75" s="4"/>
      <c r="J75" s="4"/>
      <c r="K75" s="4"/>
      <c r="L75" s="3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ht="13.5" customHeight="1">
      <c r="A76" s="44"/>
      <c r="B76" s="23" t="s">
        <v>44</v>
      </c>
      <c r="C76" s="23"/>
      <c r="D76" s="39"/>
      <c r="E76" s="34">
        <f t="shared" ref="E76:G76" si="13">SUM(E73:E75)</f>
        <v>1757.329697</v>
      </c>
      <c r="F76" s="34">
        <f t="shared" si="13"/>
        <v>1836.441255</v>
      </c>
      <c r="G76" s="34">
        <f t="shared" si="13"/>
        <v>1858.976399</v>
      </c>
      <c r="H76" s="35"/>
      <c r="I76" s="4"/>
      <c r="J76" s="4"/>
      <c r="K76" s="4"/>
      <c r="L76" s="3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3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3.5" customHeight="1">
      <c r="A78" s="5"/>
      <c r="B78" s="4" t="s">
        <v>76</v>
      </c>
      <c r="C78" s="4"/>
      <c r="D78" s="6"/>
      <c r="E78" s="45"/>
      <c r="F78" s="45"/>
      <c r="G78" s="45"/>
      <c r="H78" s="45"/>
      <c r="I78" s="4"/>
      <c r="J78" s="4"/>
      <c r="K78" s="4"/>
      <c r="L78" s="3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ht="13.5" customHeight="1">
      <c r="A79" s="22">
        <v>3.0</v>
      </c>
      <c r="B79" s="23" t="s">
        <v>77</v>
      </c>
      <c r="C79" s="23"/>
      <c r="D79" s="24" t="s">
        <v>34</v>
      </c>
      <c r="E79" s="22" t="s">
        <v>35</v>
      </c>
      <c r="F79" s="22" t="s">
        <v>35</v>
      </c>
      <c r="G79" s="22" t="s">
        <v>35</v>
      </c>
      <c r="H79" s="42"/>
      <c r="I79" s="4"/>
      <c r="J79" s="4"/>
      <c r="K79" s="4"/>
      <c r="L79" s="3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ht="13.5" customHeight="1">
      <c r="A80" s="37" t="s">
        <v>5</v>
      </c>
      <c r="B80" s="28" t="s">
        <v>78</v>
      </c>
      <c r="C80" s="28"/>
      <c r="D80" s="31">
        <v>0.0042</v>
      </c>
      <c r="E80" s="30">
        <f>E40*D80</f>
        <v>7.0618464</v>
      </c>
      <c r="F80" s="30">
        <f>F40*D80</f>
        <v>7.6503336</v>
      </c>
      <c r="G80" s="30">
        <f>G40*D80</f>
        <v>7.8914304</v>
      </c>
      <c r="H80" s="6"/>
      <c r="I80" s="4"/>
      <c r="J80" s="4"/>
      <c r="K80" s="4"/>
      <c r="L80" s="3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ht="13.5" customHeight="1">
      <c r="A81" s="37" t="s">
        <v>7</v>
      </c>
      <c r="B81" s="28" t="s">
        <v>79</v>
      </c>
      <c r="C81" s="28"/>
      <c r="D81" s="31">
        <v>3.33E-4</v>
      </c>
      <c r="E81" s="30">
        <f>E40*D81</f>
        <v>0.559903536</v>
      </c>
      <c r="F81" s="30">
        <f>F40*D81</f>
        <v>0.606562164</v>
      </c>
      <c r="G81" s="30">
        <f>G40*D81</f>
        <v>0.625677696</v>
      </c>
      <c r="H81" s="6"/>
      <c r="I81" s="4"/>
      <c r="J81" s="4"/>
      <c r="K81" s="4"/>
      <c r="L81" s="3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3.5" customHeight="1">
      <c r="A82" s="37" t="s">
        <v>10</v>
      </c>
      <c r="B82" s="28" t="s">
        <v>80</v>
      </c>
      <c r="C82" s="28"/>
      <c r="D82" s="31">
        <v>0.0016</v>
      </c>
      <c r="E82" s="30">
        <f>E40*D82</f>
        <v>2.6902272</v>
      </c>
      <c r="F82" s="30">
        <f>F40*D82</f>
        <v>2.9144128</v>
      </c>
      <c r="G82" s="30">
        <f>G40*D82</f>
        <v>3.0062592</v>
      </c>
      <c r="H82" s="6"/>
      <c r="I82" s="4"/>
      <c r="J82" s="4"/>
      <c r="K82" s="4"/>
      <c r="L82" s="3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ht="13.5" customHeight="1">
      <c r="A83" s="37" t="s">
        <v>13</v>
      </c>
      <c r="B83" s="28" t="s">
        <v>81</v>
      </c>
      <c r="C83" s="28"/>
      <c r="D83" s="31">
        <v>0.0185</v>
      </c>
      <c r="E83" s="30">
        <f>E40*D83</f>
        <v>31.105752</v>
      </c>
      <c r="F83" s="30">
        <f>F40*D83</f>
        <v>33.697898</v>
      </c>
      <c r="G83" s="30">
        <f>G40*D83</f>
        <v>34.759872</v>
      </c>
      <c r="H83" s="6"/>
      <c r="I83" s="4"/>
      <c r="J83" s="4"/>
      <c r="K83" s="4"/>
      <c r="L83" s="3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ht="13.5" customHeight="1">
      <c r="A84" s="37" t="s">
        <v>40</v>
      </c>
      <c r="B84" s="28" t="s">
        <v>82</v>
      </c>
      <c r="C84" s="28"/>
      <c r="D84" s="31">
        <f>D59</f>
        <v>0.368</v>
      </c>
      <c r="E84" s="30">
        <f>E83*D84</f>
        <v>11.44691674</v>
      </c>
      <c r="F84" s="30">
        <f>F83*D84</f>
        <v>12.40082646</v>
      </c>
      <c r="G84" s="30">
        <f>G83*D84</f>
        <v>12.7916329</v>
      </c>
      <c r="H84" s="6"/>
      <c r="I84" s="4"/>
      <c r="J84" s="4"/>
      <c r="K84" s="4"/>
      <c r="L84" s="3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ht="13.5" customHeight="1">
      <c r="A85" s="37" t="s">
        <v>42</v>
      </c>
      <c r="B85" s="28" t="s">
        <v>83</v>
      </c>
      <c r="C85" s="28"/>
      <c r="D85" s="41">
        <v>0.0304</v>
      </c>
      <c r="E85" s="30">
        <f>E40*D85</f>
        <v>51.1143168</v>
      </c>
      <c r="F85" s="30">
        <f>F40*D85</f>
        <v>55.3738432</v>
      </c>
      <c r="G85" s="30">
        <f>G40*D85</f>
        <v>57.1189248</v>
      </c>
      <c r="H85" s="6"/>
      <c r="I85" s="4"/>
      <c r="J85" s="4"/>
      <c r="K85" s="4"/>
      <c r="L85" s="3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3.5" customHeight="1">
      <c r="A86" s="22"/>
      <c r="B86" s="23" t="s">
        <v>44</v>
      </c>
      <c r="C86" s="23"/>
      <c r="D86" s="34"/>
      <c r="E86" s="46">
        <f t="shared" ref="E86:G86" si="14">SUM(E80:E85)</f>
        <v>103.9789627</v>
      </c>
      <c r="F86" s="46">
        <f t="shared" si="14"/>
        <v>112.6438762</v>
      </c>
      <c r="G86" s="46">
        <f t="shared" si="14"/>
        <v>116.193797</v>
      </c>
      <c r="H86" s="35"/>
      <c r="I86" s="4"/>
      <c r="J86" s="4"/>
      <c r="K86" s="4"/>
      <c r="L86" s="3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3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3.5" customHeight="1">
      <c r="A88" s="4"/>
      <c r="B88" s="4" t="s">
        <v>84</v>
      </c>
      <c r="C88" s="4"/>
      <c r="D88" s="4"/>
      <c r="E88" s="4"/>
      <c r="F88" s="4"/>
      <c r="G88" s="4"/>
      <c r="H88" s="4"/>
      <c r="I88" s="4"/>
      <c r="J88" s="4"/>
      <c r="K88" s="4"/>
      <c r="L88" s="3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3.5" customHeight="1">
      <c r="A89" s="4"/>
      <c r="B89" s="4" t="s">
        <v>85</v>
      </c>
      <c r="C89" s="4"/>
      <c r="D89" s="4"/>
      <c r="E89" s="4"/>
      <c r="F89" s="4"/>
      <c r="G89" s="4"/>
      <c r="H89" s="4"/>
      <c r="I89" s="4"/>
      <c r="J89" s="4"/>
      <c r="K89" s="4"/>
      <c r="L89" s="3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3.5" customHeight="1">
      <c r="A90" s="47" t="s">
        <v>86</v>
      </c>
      <c r="B90" s="23" t="s">
        <v>87</v>
      </c>
      <c r="C90" s="23"/>
      <c r="D90" s="24" t="s">
        <v>34</v>
      </c>
      <c r="E90" s="48" t="s">
        <v>35</v>
      </c>
      <c r="F90" s="48" t="s">
        <v>35</v>
      </c>
      <c r="G90" s="48" t="s">
        <v>35</v>
      </c>
      <c r="H90" s="16"/>
      <c r="I90" s="4"/>
      <c r="J90" s="4"/>
      <c r="K90" s="4"/>
      <c r="L90" s="3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3.5" customHeight="1">
      <c r="A91" s="37" t="s">
        <v>5</v>
      </c>
      <c r="B91" s="28" t="s">
        <v>88</v>
      </c>
      <c r="C91" s="28"/>
      <c r="D91" s="31">
        <v>0.0833</v>
      </c>
      <c r="E91" s="30">
        <f>E40*D91</f>
        <v>140.0599536</v>
      </c>
      <c r="F91" s="30">
        <f>F40*D91</f>
        <v>151.7316164</v>
      </c>
      <c r="G91" s="30">
        <f>G40*D91</f>
        <v>156.5133696</v>
      </c>
      <c r="H91" s="6"/>
      <c r="I91" s="4"/>
      <c r="J91" s="4"/>
      <c r="K91" s="4"/>
      <c r="L91" s="3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3.5" customHeight="1">
      <c r="A92" s="37" t="s">
        <v>7</v>
      </c>
      <c r="B92" s="28" t="s">
        <v>89</v>
      </c>
      <c r="C92" s="28"/>
      <c r="D92" s="31">
        <v>0.0139</v>
      </c>
      <c r="E92" s="30">
        <f>E40*D92</f>
        <v>23.3713488</v>
      </c>
      <c r="F92" s="30">
        <f>F40*D92</f>
        <v>25.3189612</v>
      </c>
      <c r="G92" s="30">
        <f>G40*D92</f>
        <v>26.1168768</v>
      </c>
      <c r="H92" s="6"/>
      <c r="I92" s="4"/>
      <c r="J92" s="4"/>
      <c r="K92" s="4"/>
      <c r="L92" s="3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3.5" customHeight="1">
      <c r="A93" s="37" t="s">
        <v>10</v>
      </c>
      <c r="B93" s="28" t="s">
        <v>90</v>
      </c>
      <c r="C93" s="28"/>
      <c r="D93" s="31">
        <v>8.0E-4</v>
      </c>
      <c r="E93" s="30">
        <f>E40*D93</f>
        <v>1.3451136</v>
      </c>
      <c r="F93" s="30">
        <f>F40*D93</f>
        <v>1.4572064</v>
      </c>
      <c r="G93" s="30">
        <f>G40*D93</f>
        <v>1.5031296</v>
      </c>
      <c r="H93" s="6"/>
      <c r="I93" s="4"/>
      <c r="J93" s="4"/>
      <c r="K93" s="4"/>
      <c r="L93" s="3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3.5" customHeight="1">
      <c r="A94" s="37" t="s">
        <v>13</v>
      </c>
      <c r="B94" s="28" t="s">
        <v>91</v>
      </c>
      <c r="C94" s="28"/>
      <c r="D94" s="31">
        <v>0.0038</v>
      </c>
      <c r="E94" s="30">
        <f>E40*D94</f>
        <v>6.3892896</v>
      </c>
      <c r="F94" s="30">
        <f>F40*D94</f>
        <v>6.9217304</v>
      </c>
      <c r="G94" s="30">
        <f>G40*D94</f>
        <v>7.1398656</v>
      </c>
      <c r="H94" s="6"/>
      <c r="I94" s="4"/>
      <c r="J94" s="4"/>
      <c r="K94" s="4"/>
      <c r="L94" s="3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3.5" customHeight="1">
      <c r="A95" s="37" t="s">
        <v>40</v>
      </c>
      <c r="B95" s="28" t="s">
        <v>92</v>
      </c>
      <c r="C95" s="28"/>
      <c r="D95" s="31">
        <v>9.0E-4</v>
      </c>
      <c r="E95" s="30">
        <f>E40*D95</f>
        <v>1.5132528</v>
      </c>
      <c r="F95" s="30">
        <f>F40*D95</f>
        <v>1.6393572</v>
      </c>
      <c r="G95" s="30">
        <f>G40*D95</f>
        <v>1.6910208</v>
      </c>
      <c r="H95" s="6"/>
      <c r="I95" s="4"/>
      <c r="J95" s="4"/>
      <c r="K95" s="4"/>
      <c r="L95" s="3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3.5" customHeight="1">
      <c r="A96" s="37" t="s">
        <v>42</v>
      </c>
      <c r="B96" s="28" t="s">
        <v>93</v>
      </c>
      <c r="C96" s="28"/>
      <c r="D96" s="31">
        <v>0.0</v>
      </c>
      <c r="E96" s="30">
        <f>E40*D96</f>
        <v>0</v>
      </c>
      <c r="F96" s="30">
        <f>F40*D96</f>
        <v>0</v>
      </c>
      <c r="G96" s="30">
        <f>G40*D96</f>
        <v>0</v>
      </c>
      <c r="H96" s="6"/>
      <c r="I96" s="4"/>
      <c r="J96" s="4"/>
      <c r="K96" s="4"/>
      <c r="L96" s="3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3.5" customHeight="1">
      <c r="A97" s="36"/>
      <c r="B97" s="23" t="s">
        <v>44</v>
      </c>
      <c r="C97" s="23"/>
      <c r="D97" s="34"/>
      <c r="E97" s="46">
        <f t="shared" ref="E97:G97" si="15">SUM(E91:E96)</f>
        <v>172.6789584</v>
      </c>
      <c r="F97" s="46">
        <f t="shared" si="15"/>
        <v>187.0688716</v>
      </c>
      <c r="G97" s="46">
        <f t="shared" si="15"/>
        <v>192.9642624</v>
      </c>
      <c r="H97" s="35"/>
      <c r="I97" s="4"/>
      <c r="J97" s="4"/>
      <c r="K97" s="4"/>
      <c r="L97" s="3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3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3.5" customHeight="1">
      <c r="A99" s="5"/>
      <c r="B99" s="49" t="s">
        <v>94</v>
      </c>
      <c r="C99" s="49"/>
      <c r="D99" s="6"/>
      <c r="E99" s="4"/>
      <c r="F99" s="4"/>
      <c r="G99" s="4"/>
      <c r="H99" s="4"/>
      <c r="I99" s="4"/>
      <c r="J99" s="4"/>
      <c r="K99" s="4"/>
      <c r="L99" s="32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3.5" customHeight="1">
      <c r="A100" s="22" t="s">
        <v>95</v>
      </c>
      <c r="B100" s="23" t="s">
        <v>96</v>
      </c>
      <c r="C100" s="23"/>
      <c r="D100" s="24" t="s">
        <v>34</v>
      </c>
      <c r="E100" s="22" t="s">
        <v>35</v>
      </c>
      <c r="F100" s="22" t="s">
        <v>35</v>
      </c>
      <c r="G100" s="22" t="s">
        <v>35</v>
      </c>
      <c r="H100" s="42"/>
      <c r="I100" s="4"/>
      <c r="J100" s="4"/>
      <c r="K100" s="4"/>
      <c r="L100" s="32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3.5" customHeight="1">
      <c r="A101" s="27" t="s">
        <v>5</v>
      </c>
      <c r="B101" s="28" t="s">
        <v>97</v>
      </c>
      <c r="C101" s="28"/>
      <c r="D101" s="41">
        <v>0.0</v>
      </c>
      <c r="E101" s="30">
        <f>E40*D101</f>
        <v>0</v>
      </c>
      <c r="F101" s="30">
        <f t="shared" ref="F101:G101" si="16">F40*D101</f>
        <v>0</v>
      </c>
      <c r="G101" s="30">
        <f t="shared" si="16"/>
        <v>0</v>
      </c>
      <c r="H101" s="6"/>
      <c r="I101" s="4"/>
      <c r="J101" s="4"/>
      <c r="K101" s="4"/>
      <c r="L101" s="32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3.5" customHeight="1">
      <c r="A102" s="22"/>
      <c r="B102" s="23" t="s">
        <v>44</v>
      </c>
      <c r="C102" s="23"/>
      <c r="D102" s="34"/>
      <c r="E102" s="34">
        <f t="shared" ref="E102:G102" si="17">SUM(E101)</f>
        <v>0</v>
      </c>
      <c r="F102" s="34">
        <f t="shared" si="17"/>
        <v>0</v>
      </c>
      <c r="G102" s="34">
        <f t="shared" si="17"/>
        <v>0</v>
      </c>
      <c r="H102" s="35"/>
      <c r="I102" s="4"/>
      <c r="J102" s="4"/>
      <c r="K102" s="4"/>
      <c r="L102" s="32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2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3.5" customHeight="1">
      <c r="A104" s="5"/>
      <c r="B104" s="4" t="s">
        <v>98</v>
      </c>
      <c r="C104" s="4"/>
      <c r="D104" s="6"/>
      <c r="E104" s="4"/>
      <c r="F104" s="4"/>
      <c r="G104" s="4"/>
      <c r="H104" s="4"/>
      <c r="I104" s="4"/>
      <c r="J104" s="4"/>
      <c r="K104" s="4"/>
      <c r="L104" s="32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3.5" customHeight="1">
      <c r="A105" s="22">
        <v>4.0</v>
      </c>
      <c r="B105" s="23" t="s">
        <v>99</v>
      </c>
      <c r="C105" s="23"/>
      <c r="D105" s="24" t="s">
        <v>34</v>
      </c>
      <c r="E105" s="25" t="s">
        <v>35</v>
      </c>
      <c r="F105" s="25" t="s">
        <v>35</v>
      </c>
      <c r="G105" s="25" t="s">
        <v>35</v>
      </c>
      <c r="H105" s="26"/>
      <c r="I105" s="4"/>
      <c r="J105" s="4"/>
      <c r="K105" s="4"/>
      <c r="L105" s="3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3.5" customHeight="1">
      <c r="A106" s="27" t="s">
        <v>86</v>
      </c>
      <c r="B106" s="28" t="s">
        <v>100</v>
      </c>
      <c r="C106" s="28"/>
      <c r="D106" s="29"/>
      <c r="E106" s="30">
        <f t="shared" ref="E106:G106" si="18">E97</f>
        <v>172.6789584</v>
      </c>
      <c r="F106" s="30">
        <f t="shared" si="18"/>
        <v>187.0688716</v>
      </c>
      <c r="G106" s="30">
        <f t="shared" si="18"/>
        <v>192.9642624</v>
      </c>
      <c r="H106" s="6"/>
      <c r="I106" s="4"/>
      <c r="J106" s="4"/>
      <c r="K106" s="4"/>
      <c r="L106" s="32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3.5" customHeight="1">
      <c r="A107" s="27" t="s">
        <v>95</v>
      </c>
      <c r="B107" s="28" t="s">
        <v>96</v>
      </c>
      <c r="C107" s="28"/>
      <c r="D107" s="29"/>
      <c r="E107" s="30">
        <f t="shared" ref="E107:G107" si="19">E102</f>
        <v>0</v>
      </c>
      <c r="F107" s="30">
        <f t="shared" si="19"/>
        <v>0</v>
      </c>
      <c r="G107" s="30">
        <f t="shared" si="19"/>
        <v>0</v>
      </c>
      <c r="H107" s="6"/>
      <c r="I107" s="4"/>
      <c r="J107" s="4"/>
      <c r="K107" s="4"/>
      <c r="L107" s="32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3.5" customHeight="1">
      <c r="A108" s="44"/>
      <c r="B108" s="23" t="s">
        <v>44</v>
      </c>
      <c r="C108" s="23"/>
      <c r="D108" s="39"/>
      <c r="E108" s="34">
        <f t="shared" ref="E108:G108" si="20">SUM(E106:E107)</f>
        <v>172.6789584</v>
      </c>
      <c r="F108" s="34">
        <f t="shared" si="20"/>
        <v>187.0688716</v>
      </c>
      <c r="G108" s="34">
        <f t="shared" si="20"/>
        <v>192.9642624</v>
      </c>
      <c r="H108" s="35"/>
      <c r="I108" s="4"/>
      <c r="J108" s="4"/>
      <c r="K108" s="4"/>
      <c r="L108" s="32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2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3.5" customHeight="1">
      <c r="A110" s="5"/>
      <c r="B110" s="4" t="s">
        <v>101</v>
      </c>
      <c r="C110" s="4"/>
      <c r="D110" s="6"/>
      <c r="E110" s="4"/>
      <c r="F110" s="4"/>
      <c r="G110" s="4"/>
      <c r="H110" s="4"/>
      <c r="I110" s="4"/>
      <c r="J110" s="4"/>
      <c r="K110" s="4"/>
      <c r="L110" s="32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3.5" customHeight="1">
      <c r="A111" s="22">
        <v>5.0</v>
      </c>
      <c r="B111" s="23" t="s">
        <v>102</v>
      </c>
      <c r="C111" s="23"/>
      <c r="D111" s="24" t="s">
        <v>34</v>
      </c>
      <c r="E111" s="25" t="s">
        <v>35</v>
      </c>
      <c r="F111" s="25" t="s">
        <v>35</v>
      </c>
      <c r="G111" s="25" t="s">
        <v>35</v>
      </c>
      <c r="H111" s="26"/>
      <c r="I111" s="4"/>
      <c r="J111" s="4"/>
      <c r="K111" s="4"/>
      <c r="L111" s="32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3.5" customHeight="1">
      <c r="A112" s="27" t="s">
        <v>5</v>
      </c>
      <c r="B112" s="28" t="s">
        <v>103</v>
      </c>
      <c r="C112" s="28"/>
      <c r="D112" s="31">
        <v>0.0</v>
      </c>
      <c r="E112" s="30">
        <v>0.0</v>
      </c>
      <c r="F112" s="30">
        <v>0.0</v>
      </c>
      <c r="G112" s="30">
        <v>0.0</v>
      </c>
      <c r="H112" s="6"/>
      <c r="I112" s="4"/>
      <c r="J112" s="4"/>
      <c r="K112" s="4"/>
      <c r="L112" s="3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3.5" customHeight="1">
      <c r="A113" s="27" t="s">
        <v>7</v>
      </c>
      <c r="B113" s="28" t="s">
        <v>104</v>
      </c>
      <c r="C113" s="28"/>
      <c r="D113" s="31">
        <v>0.0</v>
      </c>
      <c r="E113" s="30">
        <v>0.0</v>
      </c>
      <c r="F113" s="30">
        <v>0.0</v>
      </c>
      <c r="G113" s="30">
        <v>0.0</v>
      </c>
      <c r="H113" s="6"/>
      <c r="I113" s="4"/>
      <c r="J113" s="4"/>
      <c r="K113" s="4"/>
      <c r="L113" s="3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3.5" customHeight="1">
      <c r="A114" s="27" t="s">
        <v>10</v>
      </c>
      <c r="B114" s="28" t="s">
        <v>105</v>
      </c>
      <c r="C114" s="28"/>
      <c r="D114" s="31">
        <v>0.0</v>
      </c>
      <c r="E114" s="30">
        <v>0.0</v>
      </c>
      <c r="F114" s="30">
        <v>0.0</v>
      </c>
      <c r="G114" s="30">
        <v>0.0</v>
      </c>
      <c r="H114" s="6"/>
      <c r="I114" s="4"/>
      <c r="J114" s="4"/>
      <c r="K114" s="4"/>
      <c r="L114" s="3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3.5" customHeight="1">
      <c r="A115" s="27" t="s">
        <v>13</v>
      </c>
      <c r="B115" s="28" t="s">
        <v>43</v>
      </c>
      <c r="C115" s="28"/>
      <c r="D115" s="31">
        <v>0.0</v>
      </c>
      <c r="E115" s="30">
        <v>0.0</v>
      </c>
      <c r="F115" s="30">
        <v>0.0</v>
      </c>
      <c r="G115" s="30">
        <v>0.0</v>
      </c>
      <c r="H115" s="6"/>
      <c r="I115" s="4"/>
      <c r="J115" s="4"/>
      <c r="K115" s="4"/>
      <c r="L115" s="3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3.5" customHeight="1">
      <c r="A116" s="36"/>
      <c r="B116" s="23" t="s">
        <v>106</v>
      </c>
      <c r="C116" s="23"/>
      <c r="D116" s="33"/>
      <c r="E116" s="34">
        <f t="shared" ref="E116:G116" si="21">SUM(E112:E115)</f>
        <v>0</v>
      </c>
      <c r="F116" s="34">
        <f t="shared" si="21"/>
        <v>0</v>
      </c>
      <c r="G116" s="34">
        <f t="shared" si="21"/>
        <v>0</v>
      </c>
      <c r="H116" s="35"/>
      <c r="I116" s="4"/>
      <c r="J116" s="4"/>
      <c r="K116" s="4"/>
      <c r="L116" s="3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2"/>
      <c r="M117" s="3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3.5" customHeight="1">
      <c r="A118" s="5"/>
      <c r="B118" s="4" t="s">
        <v>107</v>
      </c>
      <c r="C118" s="4"/>
      <c r="D118" s="6"/>
      <c r="E118" s="4"/>
      <c r="F118" s="4"/>
      <c r="G118" s="4"/>
      <c r="H118" s="4"/>
      <c r="I118" s="4"/>
      <c r="J118" s="4"/>
      <c r="K118" s="4"/>
      <c r="L118" s="4"/>
      <c r="M118" s="3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3.5" customHeight="1">
      <c r="A119" s="47">
        <v>6.0</v>
      </c>
      <c r="B119" s="23" t="s">
        <v>108</v>
      </c>
      <c r="C119" s="23"/>
      <c r="D119" s="24" t="s">
        <v>34</v>
      </c>
      <c r="E119" s="25" t="s">
        <v>35</v>
      </c>
      <c r="F119" s="25" t="s">
        <v>35</v>
      </c>
      <c r="G119" s="25" t="s">
        <v>35</v>
      </c>
      <c r="H119" s="26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3.5" customHeight="1">
      <c r="A120" s="27" t="s">
        <v>5</v>
      </c>
      <c r="B120" s="28" t="s">
        <v>109</v>
      </c>
      <c r="C120" s="28"/>
      <c r="D120" s="31">
        <v>0.03</v>
      </c>
      <c r="E120" s="30">
        <f>(E40+E76+E86+E108+E116)*D120</f>
        <v>111.4613885</v>
      </c>
      <c r="F120" s="30">
        <f>(F40+F76+F86+F108+F116)*D120</f>
        <v>118.7298601</v>
      </c>
      <c r="G120" s="30">
        <f>(G40+G76+G86+G108+G116)*D120</f>
        <v>121.4113937</v>
      </c>
      <c r="H120" s="6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3.5" customHeight="1">
      <c r="A121" s="27" t="s">
        <v>7</v>
      </c>
      <c r="B121" s="28" t="s">
        <v>110</v>
      </c>
      <c r="C121" s="28"/>
      <c r="D121" s="31">
        <v>0.06</v>
      </c>
      <c r="E121" s="30">
        <f>(E40+E76+E86+E108+E116+E120)*D121</f>
        <v>229.6104604</v>
      </c>
      <c r="F121" s="30">
        <f>(F40+F76+F86+F108+F116+F120)*D121</f>
        <v>244.5835118</v>
      </c>
      <c r="G121" s="30">
        <f>(G40+G76+G86+G108+G116+G120)*D121</f>
        <v>250.1074711</v>
      </c>
      <c r="H121" s="6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3.5" customHeight="1">
      <c r="A122" s="27" t="s">
        <v>10</v>
      </c>
      <c r="B122" s="28" t="s">
        <v>111</v>
      </c>
      <c r="C122" s="28"/>
      <c r="D122" s="31">
        <f t="shared" ref="D122:G122" si="22">SUM(D123:D125)</f>
        <v>0.0665</v>
      </c>
      <c r="E122" s="30">
        <f t="shared" si="22"/>
        <v>288.9705651</v>
      </c>
      <c r="F122" s="30">
        <f t="shared" si="22"/>
        <v>307.8145285</v>
      </c>
      <c r="G122" s="30">
        <f t="shared" si="22"/>
        <v>314.766571</v>
      </c>
      <c r="H122" s="6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3.5" customHeight="1">
      <c r="A123" s="27" t="s">
        <v>112</v>
      </c>
      <c r="B123" s="28" t="s">
        <v>113</v>
      </c>
      <c r="C123" s="28"/>
      <c r="D123" s="31">
        <v>0.0365</v>
      </c>
      <c r="E123" s="30">
        <f>((E40+E76+E86+E108+E116+E120+E121)/(1-D122))*D123</f>
        <v>158.6079042</v>
      </c>
      <c r="F123" s="30">
        <f>((F40+F76+F86+F108+F116+F120+F121)/(1-D122))*D123</f>
        <v>168.9508315</v>
      </c>
      <c r="G123" s="30">
        <f>((G40+G76+G86+G108+G116+G120+G121)/(1-D122))*D123</f>
        <v>172.7666141</v>
      </c>
      <c r="H123" s="6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3.5" customHeight="1">
      <c r="A124" s="27" t="s">
        <v>114</v>
      </c>
      <c r="B124" s="28" t="s">
        <v>115</v>
      </c>
      <c r="C124" s="28"/>
      <c r="D124" s="31">
        <v>0.0</v>
      </c>
      <c r="E124" s="30">
        <f t="shared" ref="E124:G124" si="23">(E40+E76+E86+E108+E116+E120+E121)*D124</f>
        <v>0</v>
      </c>
      <c r="F124" s="30">
        <f t="shared" si="23"/>
        <v>0</v>
      </c>
      <c r="G124" s="30">
        <f t="shared" si="23"/>
        <v>0</v>
      </c>
      <c r="H124" s="6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3.5" customHeight="1">
      <c r="A125" s="27" t="s">
        <v>116</v>
      </c>
      <c r="B125" s="28" t="s">
        <v>117</v>
      </c>
      <c r="C125" s="28"/>
      <c r="D125" s="31">
        <v>0.03</v>
      </c>
      <c r="E125" s="30">
        <f>((E40+E76+E86+E108+E116+E120+E121)/(1-D122))*D125</f>
        <v>130.3626609</v>
      </c>
      <c r="F125" s="30">
        <f>((F40+F76+F86+F108+F116+F120+F121)/(1-D122))*D125</f>
        <v>138.8636971</v>
      </c>
      <c r="G125" s="30">
        <f>((G40+G76+G86+G108+G116+G120+G121)/(1-D122))*D125</f>
        <v>141.9999568</v>
      </c>
      <c r="H125" s="6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3.5" customHeight="1">
      <c r="A126" s="22"/>
      <c r="B126" s="23" t="s">
        <v>44</v>
      </c>
      <c r="C126" s="23"/>
      <c r="D126" s="50"/>
      <c r="E126" s="46">
        <f t="shared" ref="E126:G126" si="24">SUM(E120:E122)</f>
        <v>630.042414</v>
      </c>
      <c r="F126" s="46">
        <f t="shared" si="24"/>
        <v>671.1279004</v>
      </c>
      <c r="G126" s="46">
        <f t="shared" si="24"/>
        <v>686.2854358</v>
      </c>
      <c r="H126" s="3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3.5" customHeight="1">
      <c r="A128" s="16" t="s">
        <v>118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3.5" customHeight="1">
      <c r="A129" s="5"/>
      <c r="B129" s="51"/>
      <c r="C129" s="51"/>
      <c r="D129" s="51"/>
      <c r="E129" s="6"/>
      <c r="F129" s="4"/>
      <c r="G129" s="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3.5" customHeight="1">
      <c r="A130" s="52"/>
      <c r="B130" s="23" t="s">
        <v>119</v>
      </c>
      <c r="C130" s="23"/>
      <c r="D130" s="47"/>
      <c r="E130" s="24" t="s">
        <v>120</v>
      </c>
      <c r="F130" s="24" t="s">
        <v>120</v>
      </c>
      <c r="G130" s="24" t="s">
        <v>120</v>
      </c>
      <c r="H130" s="5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3.5" customHeight="1">
      <c r="A131" s="54" t="s">
        <v>5</v>
      </c>
      <c r="B131" s="28" t="s">
        <v>32</v>
      </c>
      <c r="C131" s="28"/>
      <c r="D131" s="55"/>
      <c r="E131" s="30">
        <f t="shared" ref="E131:G131" si="25">E40</f>
        <v>1681.392</v>
      </c>
      <c r="F131" s="30">
        <f t="shared" si="25"/>
        <v>1821.508</v>
      </c>
      <c r="G131" s="30">
        <f t="shared" si="25"/>
        <v>1878.912</v>
      </c>
      <c r="H131" s="6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3.5" customHeight="1">
      <c r="A132" s="54" t="s">
        <v>7</v>
      </c>
      <c r="B132" s="28" t="s">
        <v>45</v>
      </c>
      <c r="C132" s="28"/>
      <c r="D132" s="55"/>
      <c r="E132" s="30">
        <f t="shared" ref="E132:G132" si="26">E76</f>
        <v>1757.329697</v>
      </c>
      <c r="F132" s="30">
        <f t="shared" si="26"/>
        <v>1836.441255</v>
      </c>
      <c r="G132" s="30">
        <f t="shared" si="26"/>
        <v>1858.976399</v>
      </c>
      <c r="H132" s="6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3.5" customHeight="1">
      <c r="A133" s="54" t="s">
        <v>10</v>
      </c>
      <c r="B133" s="28" t="s">
        <v>76</v>
      </c>
      <c r="C133" s="28"/>
      <c r="D133" s="55"/>
      <c r="E133" s="30">
        <f t="shared" ref="E133:G133" si="27">E86</f>
        <v>103.9789627</v>
      </c>
      <c r="F133" s="30">
        <f t="shared" si="27"/>
        <v>112.6438762</v>
      </c>
      <c r="G133" s="30">
        <f t="shared" si="27"/>
        <v>116.193797</v>
      </c>
      <c r="H133" s="6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3.5" customHeight="1">
      <c r="A134" s="54" t="s">
        <v>13</v>
      </c>
      <c r="B134" s="28" t="s">
        <v>84</v>
      </c>
      <c r="C134" s="28"/>
      <c r="D134" s="55"/>
      <c r="E134" s="30">
        <f t="shared" ref="E134:G134" si="28">E108</f>
        <v>172.6789584</v>
      </c>
      <c r="F134" s="30">
        <f t="shared" si="28"/>
        <v>187.0688716</v>
      </c>
      <c r="G134" s="30">
        <f t="shared" si="28"/>
        <v>192.9642624</v>
      </c>
      <c r="H134" s="6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3.5" customHeight="1">
      <c r="A135" s="54" t="s">
        <v>40</v>
      </c>
      <c r="B135" s="28" t="s">
        <v>101</v>
      </c>
      <c r="C135" s="28"/>
      <c r="D135" s="55"/>
      <c r="E135" s="30">
        <f t="shared" ref="E135:G135" si="29">E116</f>
        <v>0</v>
      </c>
      <c r="F135" s="30">
        <f t="shared" si="29"/>
        <v>0</v>
      </c>
      <c r="G135" s="30">
        <f t="shared" si="29"/>
        <v>0</v>
      </c>
      <c r="H135" s="6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3.5" customHeight="1">
      <c r="A136" s="23" t="s">
        <v>121</v>
      </c>
      <c r="B136" s="23"/>
      <c r="C136" s="23"/>
      <c r="D136" s="56"/>
      <c r="E136" s="46">
        <f t="shared" ref="E136:G136" si="30">SUM(E131:E135)</f>
        <v>3715.379618</v>
      </c>
      <c r="F136" s="46">
        <f t="shared" si="30"/>
        <v>3957.662002</v>
      </c>
      <c r="G136" s="46">
        <f t="shared" si="30"/>
        <v>4047.046458</v>
      </c>
      <c r="H136" s="3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3.5" customHeight="1">
      <c r="A137" s="54" t="s">
        <v>42</v>
      </c>
      <c r="B137" s="28" t="s">
        <v>107</v>
      </c>
      <c r="C137" s="28"/>
      <c r="D137" s="55"/>
      <c r="E137" s="30">
        <f t="shared" ref="E137:G137" si="31">E126</f>
        <v>630.042414</v>
      </c>
      <c r="F137" s="30">
        <f t="shared" si="31"/>
        <v>671.1279004</v>
      </c>
      <c r="G137" s="30">
        <f t="shared" si="31"/>
        <v>686.2854358</v>
      </c>
      <c r="H137" s="6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3.5" customHeight="1">
      <c r="A138" s="23" t="s">
        <v>122</v>
      </c>
      <c r="B138" s="23"/>
      <c r="C138" s="23"/>
      <c r="D138" s="56"/>
      <c r="E138" s="46">
        <f t="shared" ref="E138:G138" si="32">E136+E137</f>
        <v>4345.422032</v>
      </c>
      <c r="F138" s="46">
        <f t="shared" si="32"/>
        <v>4628.789903</v>
      </c>
      <c r="G138" s="46">
        <f t="shared" si="32"/>
        <v>4733.331894</v>
      </c>
      <c r="H138" s="3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3.5" customHeight="1">
      <c r="A139" s="5"/>
      <c r="B139" s="4"/>
      <c r="C139" s="4"/>
      <c r="D139" s="4"/>
      <c r="E139" s="6"/>
      <c r="F139" s="4"/>
      <c r="G139" s="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3.5" customHeight="1">
      <c r="A140" s="57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3.5" customHeight="1">
      <c r="A141" s="58" t="s">
        <v>123</v>
      </c>
      <c r="B141" s="58" t="s">
        <v>124</v>
      </c>
      <c r="C141" s="59" t="s">
        <v>125</v>
      </c>
      <c r="D141" s="3"/>
      <c r="E141" s="60" t="s">
        <v>126</v>
      </c>
      <c r="F141" s="58" t="s">
        <v>127</v>
      </c>
      <c r="G141" s="4"/>
      <c r="H141" s="5"/>
      <c r="I141" s="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3.5" customHeight="1">
      <c r="A142" s="29" t="s">
        <v>128</v>
      </c>
      <c r="B142" s="61" t="s">
        <v>129</v>
      </c>
      <c r="C142" s="61">
        <v>1200.0</v>
      </c>
      <c r="D142" s="62">
        <f>1/(30*C142)</f>
        <v>0.00002777777778</v>
      </c>
      <c r="E142" s="43">
        <f>G138</f>
        <v>4733.331894</v>
      </c>
      <c r="F142" s="43">
        <f t="shared" ref="F142:F143" si="33">D142*E142</f>
        <v>0.1314814415</v>
      </c>
      <c r="G142" s="4"/>
      <c r="H142" s="5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3.5" customHeight="1">
      <c r="A143" s="29" t="s">
        <v>25</v>
      </c>
      <c r="B143" s="63"/>
      <c r="C143" s="63"/>
      <c r="D143" s="62">
        <f>1/C142</f>
        <v>0.0008333333333</v>
      </c>
      <c r="E143" s="43">
        <f>E138</f>
        <v>4345.422032</v>
      </c>
      <c r="F143" s="43">
        <f t="shared" si="33"/>
        <v>3.621185026</v>
      </c>
      <c r="G143" s="4"/>
      <c r="H143" s="4"/>
      <c r="I143" s="6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3.5" customHeight="1">
      <c r="A144" s="4"/>
      <c r="B144" s="4"/>
      <c r="C144" s="4"/>
      <c r="D144" s="32"/>
      <c r="E144" s="4"/>
      <c r="F144" s="32">
        <f>F142+F143</f>
        <v>3.752666468</v>
      </c>
      <c r="G144" s="4"/>
      <c r="H144" s="4"/>
      <c r="I144" s="6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3.5" customHeight="1">
      <c r="A145" s="29" t="s">
        <v>128</v>
      </c>
      <c r="B145" s="61" t="s">
        <v>130</v>
      </c>
      <c r="C145" s="61">
        <v>1200.0</v>
      </c>
      <c r="D145" s="62">
        <f>1/(30*C145)</f>
        <v>0.00002777777778</v>
      </c>
      <c r="E145" s="43">
        <f>G138</f>
        <v>4733.331894</v>
      </c>
      <c r="F145" s="43">
        <f t="shared" ref="F145:F146" si="34">D145*E145</f>
        <v>0.1314814415</v>
      </c>
      <c r="G145" s="4"/>
      <c r="H145" s="4"/>
      <c r="I145" s="6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3.5" customHeight="1">
      <c r="A146" s="29" t="s">
        <v>25</v>
      </c>
      <c r="B146" s="63"/>
      <c r="C146" s="63"/>
      <c r="D146" s="62">
        <f>1/C145</f>
        <v>0.0008333333333</v>
      </c>
      <c r="E146" s="43">
        <f>E138</f>
        <v>4345.422032</v>
      </c>
      <c r="F146" s="43">
        <f t="shared" si="34"/>
        <v>3.621185026</v>
      </c>
      <c r="G146" s="4"/>
      <c r="H146" s="4"/>
      <c r="I146" s="6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3.5" customHeight="1">
      <c r="A147" s="4"/>
      <c r="B147" s="4"/>
      <c r="C147" s="4"/>
      <c r="D147" s="32"/>
      <c r="E147" s="4"/>
      <c r="F147" s="32">
        <f>F145+F146</f>
        <v>3.752666468</v>
      </c>
      <c r="G147" s="4"/>
      <c r="H147" s="4"/>
      <c r="I147" s="6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3.5" customHeight="1">
      <c r="A148" s="29" t="s">
        <v>128</v>
      </c>
      <c r="B148" s="61" t="s">
        <v>131</v>
      </c>
      <c r="C148" s="61">
        <v>450.0</v>
      </c>
      <c r="D148" s="62">
        <f>1/(30*C148)</f>
        <v>0.00007407407407</v>
      </c>
      <c r="E148" s="43">
        <f>G138</f>
        <v>4733.331894</v>
      </c>
      <c r="F148" s="43">
        <f t="shared" ref="F148:F149" si="35">D148*E148</f>
        <v>0.3506171773</v>
      </c>
      <c r="G148" s="4"/>
      <c r="H148" s="4"/>
      <c r="I148" s="6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3.5" customHeight="1">
      <c r="A149" s="29" t="s">
        <v>25</v>
      </c>
      <c r="B149" s="63"/>
      <c r="C149" s="63"/>
      <c r="D149" s="62">
        <f>1/C148</f>
        <v>0.002222222222</v>
      </c>
      <c r="E149" s="43">
        <f>E138</f>
        <v>4345.422032</v>
      </c>
      <c r="F149" s="43">
        <f t="shared" si="35"/>
        <v>9.656493404</v>
      </c>
      <c r="G149" s="4"/>
      <c r="H149" s="4"/>
      <c r="I149" s="6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3.5" customHeight="1">
      <c r="A150" s="4"/>
      <c r="B150" s="4"/>
      <c r="C150" s="4"/>
      <c r="D150" s="32"/>
      <c r="E150" s="4"/>
      <c r="F150" s="32">
        <f>F148+F149</f>
        <v>10.00711058</v>
      </c>
      <c r="G150" s="4"/>
      <c r="H150" s="4"/>
      <c r="I150" s="6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3.5" customHeight="1">
      <c r="A151" s="29" t="s">
        <v>128</v>
      </c>
      <c r="B151" s="61" t="s">
        <v>132</v>
      </c>
      <c r="C151" s="61">
        <v>2500.0</v>
      </c>
      <c r="D151" s="62">
        <f>1/(30*C151)</f>
        <v>0.00001333333333</v>
      </c>
      <c r="E151" s="43">
        <f>G138</f>
        <v>4733.331894</v>
      </c>
      <c r="F151" s="43">
        <f t="shared" ref="F151:F152" si="36">D151*E151</f>
        <v>0.06311109192</v>
      </c>
      <c r="G151" s="4"/>
      <c r="H151" s="4"/>
      <c r="I151" s="6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3.5" customHeight="1">
      <c r="A152" s="29" t="s">
        <v>25</v>
      </c>
      <c r="B152" s="63"/>
      <c r="C152" s="63"/>
      <c r="D152" s="62">
        <f>1/C151</f>
        <v>0.0004</v>
      </c>
      <c r="E152" s="43">
        <f>E138</f>
        <v>4345.422032</v>
      </c>
      <c r="F152" s="43">
        <f t="shared" si="36"/>
        <v>1.738168813</v>
      </c>
      <c r="G152" s="4"/>
      <c r="H152" s="4"/>
      <c r="I152" s="6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3.5" customHeight="1">
      <c r="A153" s="4"/>
      <c r="B153" s="4"/>
      <c r="C153" s="4"/>
      <c r="D153" s="32"/>
      <c r="E153" s="4"/>
      <c r="F153" s="32">
        <f>F151+F152</f>
        <v>1.801279905</v>
      </c>
      <c r="G153" s="4"/>
      <c r="H153" s="4"/>
      <c r="I153" s="6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3.5" customHeight="1">
      <c r="A154" s="29" t="s">
        <v>128</v>
      </c>
      <c r="B154" s="61" t="s">
        <v>133</v>
      </c>
      <c r="C154" s="61">
        <v>1800.0</v>
      </c>
      <c r="D154" s="62">
        <f>1/(30*C154)</f>
        <v>0.00001851851852</v>
      </c>
      <c r="E154" s="43">
        <f>G138</f>
        <v>4733.331894</v>
      </c>
      <c r="F154" s="43">
        <f t="shared" ref="F154:F155" si="37">D154*E154</f>
        <v>0.08765429433</v>
      </c>
      <c r="G154" s="4"/>
      <c r="H154" s="4"/>
      <c r="I154" s="6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3.5" customHeight="1">
      <c r="A155" s="29" t="s">
        <v>25</v>
      </c>
      <c r="B155" s="63"/>
      <c r="C155" s="63"/>
      <c r="D155" s="62">
        <f>1/C154</f>
        <v>0.0005555555556</v>
      </c>
      <c r="E155" s="43">
        <f>E138</f>
        <v>4345.422032</v>
      </c>
      <c r="F155" s="43">
        <f t="shared" si="37"/>
        <v>2.414123351</v>
      </c>
      <c r="G155" s="4"/>
      <c r="H155" s="4"/>
      <c r="I155" s="6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3.5" customHeight="1">
      <c r="A156" s="4"/>
      <c r="B156" s="4"/>
      <c r="C156" s="4"/>
      <c r="D156" s="32"/>
      <c r="E156" s="4"/>
      <c r="F156" s="32">
        <f>F154+F155</f>
        <v>2.501777645</v>
      </c>
      <c r="G156" s="4"/>
      <c r="H156" s="4"/>
      <c r="I156" s="6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3.5" customHeight="1">
      <c r="A157" s="29" t="s">
        <v>128</v>
      </c>
      <c r="B157" s="61" t="s">
        <v>134</v>
      </c>
      <c r="C157" s="61">
        <v>1500.0</v>
      </c>
      <c r="D157" s="62">
        <f>1/(30*C157)</f>
        <v>0.00002222222222</v>
      </c>
      <c r="E157" s="43">
        <f>G138</f>
        <v>4733.331894</v>
      </c>
      <c r="F157" s="43">
        <f t="shared" ref="F157:F158" si="38">D157*E157</f>
        <v>0.1051851532</v>
      </c>
      <c r="G157" s="4"/>
      <c r="H157" s="4"/>
      <c r="I157" s="6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3.5" customHeight="1">
      <c r="A158" s="29" t="s">
        <v>25</v>
      </c>
      <c r="B158" s="63"/>
      <c r="C158" s="63"/>
      <c r="D158" s="62">
        <f>1/C157</f>
        <v>0.0006666666667</v>
      </c>
      <c r="E158" s="43">
        <f>E138</f>
        <v>4345.422032</v>
      </c>
      <c r="F158" s="43">
        <f t="shared" si="38"/>
        <v>2.896948021</v>
      </c>
      <c r="G158" s="4"/>
      <c r="H158" s="4"/>
      <c r="I158" s="6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3.5" customHeight="1">
      <c r="A159" s="4"/>
      <c r="B159" s="4"/>
      <c r="C159" s="4"/>
      <c r="D159" s="32"/>
      <c r="E159" s="4"/>
      <c r="F159" s="32">
        <f>F157+F158</f>
        <v>3.002133174</v>
      </c>
      <c r="G159" s="4"/>
      <c r="H159" s="4"/>
      <c r="I159" s="6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3.5" customHeight="1">
      <c r="A160" s="29" t="s">
        <v>128</v>
      </c>
      <c r="B160" s="61" t="s">
        <v>135</v>
      </c>
      <c r="C160" s="61">
        <v>300.0</v>
      </c>
      <c r="D160" s="62">
        <f>1/(30*C160)</f>
        <v>0.0001111111111</v>
      </c>
      <c r="E160" s="43">
        <f>G138</f>
        <v>4733.331894</v>
      </c>
      <c r="F160" s="43">
        <f t="shared" ref="F160:F161" si="39">D160*E160</f>
        <v>0.525925766</v>
      </c>
      <c r="G160" s="4"/>
      <c r="H160" s="4"/>
      <c r="I160" s="6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3.5" customHeight="1">
      <c r="A161" s="29" t="s">
        <v>25</v>
      </c>
      <c r="B161" s="63"/>
      <c r="C161" s="63"/>
      <c r="D161" s="62">
        <f>1/C160</f>
        <v>0.003333333333</v>
      </c>
      <c r="E161" s="43">
        <f>E138</f>
        <v>4345.422032</v>
      </c>
      <c r="F161" s="43">
        <f t="shared" si="39"/>
        <v>14.48474011</v>
      </c>
      <c r="G161" s="4"/>
      <c r="H161" s="4"/>
      <c r="I161" s="6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3.5" customHeight="1">
      <c r="A162" s="4"/>
      <c r="B162" s="4"/>
      <c r="C162" s="4"/>
      <c r="D162" s="32"/>
      <c r="E162" s="4"/>
      <c r="F162" s="32">
        <f>F160+F161</f>
        <v>15.01066587</v>
      </c>
      <c r="G162" s="4"/>
      <c r="H162" s="4"/>
      <c r="I162" s="6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5.0" customHeight="1">
      <c r="A163" s="29" t="s">
        <v>128</v>
      </c>
      <c r="B163" s="65" t="s">
        <v>136</v>
      </c>
      <c r="C163" s="61">
        <v>2700.0</v>
      </c>
      <c r="D163" s="62">
        <f>1/(30*C163)</f>
        <v>0.00001234567901</v>
      </c>
      <c r="E163" s="43">
        <f>G138</f>
        <v>4733.331894</v>
      </c>
      <c r="F163" s="43">
        <f t="shared" ref="F163:F164" si="40">D163*E163</f>
        <v>0.05843619622</v>
      </c>
      <c r="G163" s="4"/>
      <c r="H163" s="4"/>
      <c r="I163" s="6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3.5" customHeight="1">
      <c r="A164" s="29" t="s">
        <v>25</v>
      </c>
      <c r="B164" s="63"/>
      <c r="C164" s="63"/>
      <c r="D164" s="62">
        <f>1/C163</f>
        <v>0.0003703703704</v>
      </c>
      <c r="E164" s="43">
        <f>E138</f>
        <v>4345.422032</v>
      </c>
      <c r="F164" s="43">
        <f t="shared" si="40"/>
        <v>1.609415567</v>
      </c>
      <c r="G164" s="4"/>
      <c r="H164" s="4"/>
      <c r="I164" s="6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3.5" customHeight="1">
      <c r="A165" s="4"/>
      <c r="B165" s="4"/>
      <c r="C165" s="4"/>
      <c r="D165" s="32"/>
      <c r="E165" s="4"/>
      <c r="F165" s="32">
        <f>F163+F164</f>
        <v>1.667851763</v>
      </c>
      <c r="G165" s="4"/>
      <c r="H165" s="4"/>
      <c r="I165" s="6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3.5" customHeight="1">
      <c r="A166" s="29" t="s">
        <v>128</v>
      </c>
      <c r="B166" s="61" t="s">
        <v>137</v>
      </c>
      <c r="C166" s="61">
        <v>9000.0</v>
      </c>
      <c r="D166" s="62">
        <f>1/(30*C166)</f>
        <v>0.000003703703704</v>
      </c>
      <c r="E166" s="43">
        <f>G138</f>
        <v>4733.331894</v>
      </c>
      <c r="F166" s="43">
        <f t="shared" ref="F166:F167" si="41">D166*E166</f>
        <v>0.01753085887</v>
      </c>
      <c r="G166" s="4"/>
      <c r="H166" s="4"/>
      <c r="I166" s="6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3.5" customHeight="1">
      <c r="A167" s="29" t="s">
        <v>25</v>
      </c>
      <c r="B167" s="63"/>
      <c r="C167" s="63"/>
      <c r="D167" s="62">
        <f>1/C166</f>
        <v>0.0001111111111</v>
      </c>
      <c r="E167" s="43">
        <f>E138</f>
        <v>4345.422032</v>
      </c>
      <c r="F167" s="43">
        <f t="shared" si="41"/>
        <v>0.4828246702</v>
      </c>
      <c r="G167" s="4"/>
      <c r="H167" s="4"/>
      <c r="I167" s="6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3.5" customHeight="1">
      <c r="A168" s="4"/>
      <c r="B168" s="4"/>
      <c r="C168" s="4"/>
      <c r="D168" s="32"/>
      <c r="E168" s="4"/>
      <c r="F168" s="32">
        <f>F166+F167</f>
        <v>0.500355529</v>
      </c>
      <c r="G168" s="4"/>
      <c r="H168" s="4"/>
      <c r="I168" s="6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3.5" customHeight="1">
      <c r="A169" s="29" t="s">
        <v>128</v>
      </c>
      <c r="B169" s="61" t="s">
        <v>138</v>
      </c>
      <c r="C169" s="61">
        <v>2700.0</v>
      </c>
      <c r="D169" s="62">
        <f>1/(30*C169)</f>
        <v>0.00001234567901</v>
      </c>
      <c r="E169" s="43">
        <f>G138</f>
        <v>4733.331894</v>
      </c>
      <c r="F169" s="43">
        <f t="shared" ref="F169:F170" si="42">D169*E169</f>
        <v>0.05843619622</v>
      </c>
      <c r="G169" s="4"/>
      <c r="H169" s="4"/>
      <c r="I169" s="6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3.5" customHeight="1">
      <c r="A170" s="29" t="s">
        <v>25</v>
      </c>
      <c r="B170" s="63"/>
      <c r="C170" s="63"/>
      <c r="D170" s="62">
        <f>1/C169</f>
        <v>0.0003703703704</v>
      </c>
      <c r="E170" s="43">
        <f>E138</f>
        <v>4345.422032</v>
      </c>
      <c r="F170" s="43">
        <f t="shared" si="42"/>
        <v>1.609415567</v>
      </c>
      <c r="G170" s="4"/>
      <c r="H170" s="4"/>
      <c r="I170" s="6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3.5" customHeight="1">
      <c r="A171" s="4"/>
      <c r="B171" s="4"/>
      <c r="C171" s="4"/>
      <c r="D171" s="32"/>
      <c r="E171" s="4"/>
      <c r="F171" s="32">
        <f>F169+F170</f>
        <v>1.667851763</v>
      </c>
      <c r="G171" s="4"/>
      <c r="H171" s="4"/>
      <c r="I171" s="6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3.5" customHeight="1">
      <c r="A172" s="29" t="s">
        <v>128</v>
      </c>
      <c r="B172" s="61" t="s">
        <v>139</v>
      </c>
      <c r="C172" s="61">
        <v>2700.0</v>
      </c>
      <c r="D172" s="62">
        <f>1/(30*C172)</f>
        <v>0.00001234567901</v>
      </c>
      <c r="E172" s="43">
        <f>G138</f>
        <v>4733.331894</v>
      </c>
      <c r="F172" s="43">
        <f t="shared" ref="F172:F173" si="43">D172*E172</f>
        <v>0.05843619622</v>
      </c>
      <c r="G172" s="4"/>
      <c r="H172" s="4"/>
      <c r="I172" s="6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3.5" customHeight="1">
      <c r="A173" s="29" t="s">
        <v>25</v>
      </c>
      <c r="B173" s="63"/>
      <c r="C173" s="63"/>
      <c r="D173" s="62">
        <f>1/C172</f>
        <v>0.0003703703704</v>
      </c>
      <c r="E173" s="43">
        <f>E138</f>
        <v>4345.422032</v>
      </c>
      <c r="F173" s="43">
        <f t="shared" si="43"/>
        <v>1.609415567</v>
      </c>
      <c r="G173" s="4"/>
      <c r="H173" s="4"/>
      <c r="I173" s="6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3.5" customHeight="1">
      <c r="A174" s="4"/>
      <c r="B174" s="4"/>
      <c r="C174" s="4"/>
      <c r="D174" s="32"/>
      <c r="E174" s="4"/>
      <c r="F174" s="32">
        <f>F172+F173</f>
        <v>1.667851763</v>
      </c>
      <c r="G174" s="4"/>
      <c r="H174" s="4"/>
      <c r="I174" s="6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3.5" customHeight="1">
      <c r="A175" s="29" t="s">
        <v>128</v>
      </c>
      <c r="B175" s="61" t="s">
        <v>140</v>
      </c>
      <c r="C175" s="61">
        <v>2700.0</v>
      </c>
      <c r="D175" s="62">
        <f>1/(30*C175)</f>
        <v>0.00001234567901</v>
      </c>
      <c r="E175" s="43">
        <f>G138</f>
        <v>4733.331894</v>
      </c>
      <c r="F175" s="43">
        <f t="shared" ref="F175:F176" si="44">D175*E175</f>
        <v>0.05843619622</v>
      </c>
      <c r="G175" s="4"/>
      <c r="H175" s="4"/>
      <c r="I175" s="6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3.5" customHeight="1">
      <c r="A176" s="29" t="s">
        <v>25</v>
      </c>
      <c r="B176" s="63"/>
      <c r="C176" s="63"/>
      <c r="D176" s="62">
        <f>1/C175</f>
        <v>0.0003703703704</v>
      </c>
      <c r="E176" s="43">
        <f>E138</f>
        <v>4345.422032</v>
      </c>
      <c r="F176" s="43">
        <f t="shared" si="44"/>
        <v>1.609415567</v>
      </c>
      <c r="G176" s="4"/>
      <c r="H176" s="4"/>
      <c r="I176" s="6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3.5" customHeight="1">
      <c r="A177" s="4"/>
      <c r="B177" s="4"/>
      <c r="C177" s="4"/>
      <c r="D177" s="32"/>
      <c r="E177" s="4"/>
      <c r="F177" s="32">
        <f>F175+F176</f>
        <v>1.667851763</v>
      </c>
      <c r="G177" s="4"/>
      <c r="H177" s="4"/>
      <c r="I177" s="6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5.0" customHeight="1">
      <c r="A178" s="29" t="s">
        <v>128</v>
      </c>
      <c r="B178" s="65" t="s">
        <v>141</v>
      </c>
      <c r="C178" s="61">
        <v>100000.0</v>
      </c>
      <c r="D178" s="62">
        <f>1/(30*C178)</f>
        <v>0.0000003333333333</v>
      </c>
      <c r="E178" s="43">
        <f>G138</f>
        <v>4733.331894</v>
      </c>
      <c r="F178" s="43">
        <f t="shared" ref="F178:F179" si="45">D178*E178</f>
        <v>0.001577777298</v>
      </c>
      <c r="G178" s="4"/>
      <c r="H178" s="4"/>
      <c r="I178" s="6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3.5" customHeight="1">
      <c r="A179" s="29" t="s">
        <v>25</v>
      </c>
      <c r="B179" s="63"/>
      <c r="C179" s="63"/>
      <c r="D179" s="62">
        <f>1/C178</f>
        <v>0.00001</v>
      </c>
      <c r="E179" s="43">
        <f>E138</f>
        <v>4345.422032</v>
      </c>
      <c r="F179" s="43">
        <f t="shared" si="45"/>
        <v>0.04345422032</v>
      </c>
      <c r="G179" s="4"/>
      <c r="H179" s="4"/>
      <c r="I179" s="6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3.5" customHeight="1">
      <c r="A180" s="4"/>
      <c r="B180" s="4"/>
      <c r="C180" s="4"/>
      <c r="D180" s="66"/>
      <c r="E180" s="32"/>
      <c r="F180" s="32">
        <f>F178+F179</f>
        <v>0.04503199761</v>
      </c>
      <c r="G180" s="4"/>
      <c r="H180" s="4"/>
      <c r="I180" s="6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3.5" customHeight="1">
      <c r="A181" s="29" t="s">
        <v>128</v>
      </c>
      <c r="B181" s="61" t="s">
        <v>142</v>
      </c>
      <c r="C181" s="61">
        <v>450.0</v>
      </c>
      <c r="D181" s="62">
        <f>1/(30*C181)</f>
        <v>0.00007407407407</v>
      </c>
      <c r="E181" s="43">
        <f>G138</f>
        <v>4733.331894</v>
      </c>
      <c r="F181" s="43">
        <f t="shared" ref="F181:F182" si="46">D181*E181</f>
        <v>0.3506171773</v>
      </c>
      <c r="G181" s="4"/>
      <c r="H181" s="4"/>
      <c r="I181" s="6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3.5" customHeight="1">
      <c r="A182" s="29" t="s">
        <v>25</v>
      </c>
      <c r="B182" s="63"/>
      <c r="C182" s="63"/>
      <c r="D182" s="62">
        <f>1/C181</f>
        <v>0.002222222222</v>
      </c>
      <c r="E182" s="43">
        <f>E138</f>
        <v>4345.422032</v>
      </c>
      <c r="F182" s="43">
        <f t="shared" si="46"/>
        <v>9.656493404</v>
      </c>
      <c r="G182" s="4"/>
      <c r="H182" s="4"/>
      <c r="I182" s="6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3.5" customHeight="1">
      <c r="A183" s="4"/>
      <c r="B183" s="4"/>
      <c r="C183" s="4"/>
      <c r="D183" s="66"/>
      <c r="E183" s="32"/>
      <c r="F183" s="32">
        <f>F181+F182</f>
        <v>10.00711058</v>
      </c>
      <c r="G183" s="4"/>
      <c r="H183" s="4"/>
      <c r="I183" s="6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3.5" customHeight="1">
      <c r="A184" s="37" t="s">
        <v>123</v>
      </c>
      <c r="B184" s="37" t="s">
        <v>124</v>
      </c>
      <c r="C184" s="67" t="s">
        <v>125</v>
      </c>
      <c r="D184" s="3"/>
      <c r="E184" s="68" t="s">
        <v>143</v>
      </c>
      <c r="F184" s="68" t="s">
        <v>144</v>
      </c>
      <c r="G184" s="68" t="s">
        <v>126</v>
      </c>
      <c r="H184" s="37" t="s">
        <v>127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3.5" customHeight="1">
      <c r="A185" s="29" t="s">
        <v>128</v>
      </c>
      <c r="B185" s="61" t="s">
        <v>145</v>
      </c>
      <c r="C185" s="61">
        <v>160.0</v>
      </c>
      <c r="D185" s="62">
        <f>1/(30*C185)</f>
        <v>0.0002083333333</v>
      </c>
      <c r="E185" s="69">
        <v>16.0</v>
      </c>
      <c r="F185" s="70">
        <f t="shared" ref="F185:F186" si="47">D185*E185*(1/188.76)</f>
        <v>0.00001765910857</v>
      </c>
      <c r="G185" s="43">
        <f>G138</f>
        <v>4733.331894</v>
      </c>
      <c r="H185" s="43">
        <f t="shared" ref="H185:H186" si="48">F185*G185</f>
        <v>0.08358642181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3.5" customHeight="1">
      <c r="A186" s="29" t="s">
        <v>146</v>
      </c>
      <c r="B186" s="63"/>
      <c r="C186" s="63"/>
      <c r="D186" s="62">
        <f>1/C185</f>
        <v>0.00625</v>
      </c>
      <c r="E186" s="69">
        <v>16.0</v>
      </c>
      <c r="F186" s="70">
        <f t="shared" si="47"/>
        <v>0.000529773257</v>
      </c>
      <c r="G186" s="43">
        <f>F138</f>
        <v>4628.789903</v>
      </c>
      <c r="H186" s="43">
        <f t="shared" si="48"/>
        <v>2.452209103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3.5" customHeight="1">
      <c r="A187" s="4"/>
      <c r="B187" s="4"/>
      <c r="C187" s="4"/>
      <c r="D187" s="32"/>
      <c r="E187" s="66"/>
      <c r="F187" s="4"/>
      <c r="G187" s="4"/>
      <c r="H187" s="32">
        <f>H185+H186</f>
        <v>2.535795525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3.5" customHeight="1">
      <c r="A188" s="29" t="s">
        <v>128</v>
      </c>
      <c r="B188" s="61" t="s">
        <v>147</v>
      </c>
      <c r="C188" s="61">
        <v>380.0</v>
      </c>
      <c r="D188" s="62">
        <f>1/(30*C188)</f>
        <v>0.00008771929825</v>
      </c>
      <c r="E188" s="69">
        <v>16.0</v>
      </c>
      <c r="F188" s="70">
        <f t="shared" ref="F188:F189" si="49">D188*E188*(1/188.76)</f>
        <v>0.000007435414134</v>
      </c>
      <c r="G188" s="43">
        <f>G138</f>
        <v>4733.331894</v>
      </c>
      <c r="H188" s="43">
        <f t="shared" ref="H188:H189" si="50">F188*G188</f>
        <v>0.03519428287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3.5" customHeight="1">
      <c r="A189" s="29" t="s">
        <v>25</v>
      </c>
      <c r="B189" s="63"/>
      <c r="C189" s="63"/>
      <c r="D189" s="62">
        <f>1/C188</f>
        <v>0.002631578947</v>
      </c>
      <c r="E189" s="69">
        <v>16.0</v>
      </c>
      <c r="F189" s="70">
        <f t="shared" si="49"/>
        <v>0.000223062424</v>
      </c>
      <c r="G189" s="43">
        <f>E138</f>
        <v>4345.422032</v>
      </c>
      <c r="H189" s="43">
        <f t="shared" si="50"/>
        <v>0.9693003718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3.5" customHeight="1">
      <c r="A190" s="4"/>
      <c r="B190" s="4"/>
      <c r="C190" s="4"/>
      <c r="D190" s="32"/>
      <c r="E190" s="66"/>
      <c r="F190" s="4"/>
      <c r="G190" s="4"/>
      <c r="H190" s="32">
        <f>H188+H189</f>
        <v>1.004494655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3.5" customHeight="1">
      <c r="A191" s="29" t="s">
        <v>128</v>
      </c>
      <c r="B191" s="61" t="s">
        <v>148</v>
      </c>
      <c r="C191" s="61">
        <v>380.0</v>
      </c>
      <c r="D191" s="62">
        <f>1/(30*C191)</f>
        <v>0.00008771929825</v>
      </c>
      <c r="E191" s="69">
        <v>16.0</v>
      </c>
      <c r="F191" s="70">
        <f t="shared" ref="F191:F192" si="51">D191*E191*(1/188.76)</f>
        <v>0.000007435414134</v>
      </c>
      <c r="G191" s="43">
        <f>G138</f>
        <v>4733.331894</v>
      </c>
      <c r="H191" s="43">
        <f t="shared" ref="H191:H192" si="52">F191*G191</f>
        <v>0.03519428287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3.5" customHeight="1">
      <c r="A192" s="29" t="s">
        <v>25</v>
      </c>
      <c r="B192" s="63"/>
      <c r="C192" s="63"/>
      <c r="D192" s="62">
        <f>1/C191</f>
        <v>0.002631578947</v>
      </c>
      <c r="E192" s="69">
        <v>16.0</v>
      </c>
      <c r="F192" s="70">
        <f t="shared" si="51"/>
        <v>0.000223062424</v>
      </c>
      <c r="G192" s="43">
        <f>E138</f>
        <v>4345.422032</v>
      </c>
      <c r="H192" s="43">
        <f t="shared" si="52"/>
        <v>0.9693003718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3.5" customHeight="1">
      <c r="A193" s="4"/>
      <c r="B193" s="4"/>
      <c r="C193" s="4"/>
      <c r="D193" s="4"/>
      <c r="E193" s="4"/>
      <c r="F193" s="4"/>
      <c r="G193" s="4"/>
      <c r="H193" s="32">
        <f>H191+H192</f>
        <v>1.004494655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3.5" customHeight="1">
      <c r="A194" s="29" t="s">
        <v>128</v>
      </c>
      <c r="B194" s="61" t="s">
        <v>149</v>
      </c>
      <c r="C194" s="61">
        <v>160.0</v>
      </c>
      <c r="D194" s="62">
        <f>1/(4*C194)</f>
        <v>0.0015625</v>
      </c>
      <c r="E194" s="69">
        <v>8.0</v>
      </c>
      <c r="F194" s="70">
        <f t="shared" ref="F194:F195" si="53">D194*E194*(1/1132.6)</f>
        <v>0.00001103655306</v>
      </c>
      <c r="G194" s="43">
        <f>G138</f>
        <v>4733.331894</v>
      </c>
      <c r="H194" s="43">
        <f t="shared" ref="H194:H195" si="54">F194*G194</f>
        <v>0.05223966862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3.5" customHeight="1">
      <c r="A195" s="29" t="s">
        <v>146</v>
      </c>
      <c r="B195" s="63"/>
      <c r="C195" s="63"/>
      <c r="D195" s="62">
        <f>1/C194</f>
        <v>0.00625</v>
      </c>
      <c r="E195" s="69">
        <v>8.0</v>
      </c>
      <c r="F195" s="70">
        <f t="shared" si="53"/>
        <v>0.00004414621225</v>
      </c>
      <c r="G195" s="43">
        <f>F138</f>
        <v>4628.789903</v>
      </c>
      <c r="H195" s="43">
        <f t="shared" si="54"/>
        <v>0.2043435415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3.5" customHeight="1">
      <c r="A196" s="4"/>
      <c r="B196" s="4"/>
      <c r="C196" s="4"/>
      <c r="D196" s="4"/>
      <c r="E196" s="32"/>
      <c r="F196" s="4"/>
      <c r="G196" s="4"/>
      <c r="H196" s="32">
        <f>H194+H195</f>
        <v>0.2565832101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3.5" customHeight="1">
      <c r="A197" s="71" t="s">
        <v>150</v>
      </c>
      <c r="B197" s="2"/>
      <c r="C197" s="2"/>
      <c r="D197" s="2"/>
      <c r="E197" s="2"/>
      <c r="F197" s="2"/>
      <c r="G197" s="2"/>
      <c r="H197" s="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3.5" customHeight="1">
      <c r="A198" s="4"/>
      <c r="B198" s="4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3.5" customHeight="1">
      <c r="A199" s="37" t="s">
        <v>151</v>
      </c>
      <c r="B199" s="37" t="s">
        <v>152</v>
      </c>
      <c r="C199" s="37" t="s">
        <v>124</v>
      </c>
      <c r="D199" s="72" t="s">
        <v>153</v>
      </c>
      <c r="E199" s="37" t="s">
        <v>154</v>
      </c>
      <c r="F199" s="37" t="s">
        <v>155</v>
      </c>
      <c r="G199" s="73" t="s">
        <v>156</v>
      </c>
      <c r="H199" s="74" t="s">
        <v>127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4.25" customHeight="1">
      <c r="A200" s="75" t="s">
        <v>157</v>
      </c>
      <c r="B200" s="37" t="s">
        <v>158</v>
      </c>
      <c r="C200" s="61" t="s">
        <v>159</v>
      </c>
      <c r="D200" s="76">
        <f>F147</f>
        <v>3.752666468</v>
      </c>
      <c r="E200" s="37">
        <v>56.25</v>
      </c>
      <c r="F200" s="37">
        <f>(1/5)</f>
        <v>0.2</v>
      </c>
      <c r="G200" s="77">
        <f t="shared" ref="G200:G249" si="55">E200*F200</f>
        <v>11.25</v>
      </c>
      <c r="H200" s="78">
        <f t="shared" ref="H200:H249" si="56">D200*G200</f>
        <v>42.21749776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3.5" customHeight="1">
      <c r="A201" s="79"/>
      <c r="B201" s="37" t="s">
        <v>135</v>
      </c>
      <c r="C201" s="79"/>
      <c r="D201" s="76">
        <f>F162</f>
        <v>15.01066587</v>
      </c>
      <c r="E201" s="37">
        <v>2.33</v>
      </c>
      <c r="F201" s="37">
        <f>(3/5)</f>
        <v>0.6</v>
      </c>
      <c r="G201" s="77">
        <f t="shared" si="55"/>
        <v>1.398</v>
      </c>
      <c r="H201" s="78">
        <f t="shared" si="56"/>
        <v>20.98491089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3.5" customHeight="1">
      <c r="A202" s="79"/>
      <c r="B202" s="37" t="s">
        <v>160</v>
      </c>
      <c r="C202" s="63"/>
      <c r="D202" s="76">
        <f>H193</f>
        <v>1.004494655</v>
      </c>
      <c r="E202" s="37">
        <v>9.11</v>
      </c>
      <c r="F202" s="37">
        <v>1.0</v>
      </c>
      <c r="G202" s="77">
        <f t="shared" si="55"/>
        <v>9.11</v>
      </c>
      <c r="H202" s="78">
        <f t="shared" si="56"/>
        <v>9.150946304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3.5" customHeight="1">
      <c r="A203" s="63"/>
      <c r="B203" s="37" t="s">
        <v>161</v>
      </c>
      <c r="C203" s="37" t="s">
        <v>162</v>
      </c>
      <c r="D203" s="76">
        <f>H190</f>
        <v>1.004494655</v>
      </c>
      <c r="E203" s="37">
        <v>10.24</v>
      </c>
      <c r="F203" s="37">
        <v>1.0</v>
      </c>
      <c r="G203" s="77">
        <f t="shared" si="55"/>
        <v>10.24</v>
      </c>
      <c r="H203" s="78">
        <f t="shared" si="56"/>
        <v>10.28602526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3.5" customHeight="1">
      <c r="A204" s="75" t="s">
        <v>163</v>
      </c>
      <c r="B204" s="37" t="s">
        <v>158</v>
      </c>
      <c r="C204" s="61" t="s">
        <v>159</v>
      </c>
      <c r="D204" s="80">
        <f>F147</f>
        <v>3.752666468</v>
      </c>
      <c r="E204" s="37">
        <v>350.24</v>
      </c>
      <c r="F204" s="37">
        <f>(2/5)</f>
        <v>0.4</v>
      </c>
      <c r="G204" s="77">
        <f t="shared" si="55"/>
        <v>140.096</v>
      </c>
      <c r="H204" s="78">
        <f t="shared" si="56"/>
        <v>525.7335615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3.5" customHeight="1">
      <c r="A205" s="79"/>
      <c r="B205" s="37" t="s">
        <v>135</v>
      </c>
      <c r="C205" s="79"/>
      <c r="D205" s="80">
        <f>F162</f>
        <v>15.01066587</v>
      </c>
      <c r="E205" s="37">
        <v>12.84</v>
      </c>
      <c r="F205" s="37">
        <f>(10/5)</f>
        <v>2</v>
      </c>
      <c r="G205" s="77">
        <f t="shared" si="55"/>
        <v>25.68</v>
      </c>
      <c r="H205" s="78">
        <f t="shared" si="56"/>
        <v>385.4738996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3.5" customHeight="1">
      <c r="A206" s="79"/>
      <c r="B206" s="37" t="s">
        <v>160</v>
      </c>
      <c r="C206" s="63"/>
      <c r="D206" s="80">
        <f>H193</f>
        <v>1.004494655</v>
      </c>
      <c r="E206" s="37">
        <v>65.01</v>
      </c>
      <c r="F206" s="37">
        <v>1.0</v>
      </c>
      <c r="G206" s="77">
        <f t="shared" si="55"/>
        <v>65.01</v>
      </c>
      <c r="H206" s="78">
        <f t="shared" si="56"/>
        <v>65.3021975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3.5" customHeight="1">
      <c r="A207" s="63"/>
      <c r="B207" s="37" t="s">
        <v>161</v>
      </c>
      <c r="C207" s="37" t="s">
        <v>162</v>
      </c>
      <c r="D207" s="80">
        <f>H190</f>
        <v>1.004494655</v>
      </c>
      <c r="E207" s="37">
        <v>65.65</v>
      </c>
      <c r="F207" s="37">
        <v>1.0</v>
      </c>
      <c r="G207" s="77">
        <f t="shared" si="55"/>
        <v>65.65</v>
      </c>
      <c r="H207" s="78">
        <f t="shared" si="56"/>
        <v>65.94507408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4.25" customHeight="1">
      <c r="A208" s="75" t="s">
        <v>164</v>
      </c>
      <c r="B208" s="37" t="s">
        <v>158</v>
      </c>
      <c r="C208" s="61" t="s">
        <v>159</v>
      </c>
      <c r="D208" s="80">
        <f>F147</f>
        <v>3.752666468</v>
      </c>
      <c r="E208" s="37">
        <v>598.0</v>
      </c>
      <c r="F208" s="37">
        <f>(10/5)</f>
        <v>2</v>
      </c>
      <c r="G208" s="77">
        <f t="shared" si="55"/>
        <v>1196</v>
      </c>
      <c r="H208" s="78">
        <f t="shared" si="56"/>
        <v>4488.189096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3.5" customHeight="1">
      <c r="A209" s="79"/>
      <c r="B209" s="37" t="s">
        <v>165</v>
      </c>
      <c r="C209" s="79"/>
      <c r="D209" s="80">
        <f>F147</f>
        <v>3.752666468</v>
      </c>
      <c r="E209" s="37">
        <v>85.22</v>
      </c>
      <c r="F209" s="37">
        <f>(2/5)</f>
        <v>0.4</v>
      </c>
      <c r="G209" s="77">
        <f t="shared" si="55"/>
        <v>34.088</v>
      </c>
      <c r="H209" s="78">
        <f t="shared" si="56"/>
        <v>127.9208946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3.5" customHeight="1">
      <c r="A210" s="79"/>
      <c r="B210" s="37" t="s">
        <v>166</v>
      </c>
      <c r="C210" s="79"/>
      <c r="D210" s="80">
        <f>F159</f>
        <v>3.002133174</v>
      </c>
      <c r="E210" s="37">
        <v>386.61</v>
      </c>
      <c r="F210" s="37">
        <f>(1/5)</f>
        <v>0.2</v>
      </c>
      <c r="G210" s="77">
        <f t="shared" si="55"/>
        <v>77.322</v>
      </c>
      <c r="H210" s="78">
        <f t="shared" si="56"/>
        <v>232.1309413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3.5" customHeight="1">
      <c r="A211" s="79"/>
      <c r="B211" s="37" t="s">
        <v>167</v>
      </c>
      <c r="C211" s="79"/>
      <c r="D211" s="80">
        <f>H190</f>
        <v>1.004494655</v>
      </c>
      <c r="E211" s="37">
        <v>154.27</v>
      </c>
      <c r="F211" s="37">
        <v>1.0</v>
      </c>
      <c r="G211" s="77">
        <f t="shared" si="55"/>
        <v>154.27</v>
      </c>
      <c r="H211" s="78">
        <f t="shared" si="56"/>
        <v>154.9633904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3.5" customHeight="1">
      <c r="A212" s="79"/>
      <c r="B212" s="37" t="s">
        <v>168</v>
      </c>
      <c r="C212" s="79"/>
      <c r="D212" s="80">
        <f>F144</f>
        <v>3.752666468</v>
      </c>
      <c r="E212" s="37">
        <v>403.44</v>
      </c>
      <c r="F212" s="37">
        <v>1.0</v>
      </c>
      <c r="G212" s="77">
        <f t="shared" si="55"/>
        <v>403.44</v>
      </c>
      <c r="H212" s="78">
        <f t="shared" si="56"/>
        <v>1513.97576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3.5" customHeight="1">
      <c r="A213" s="79"/>
      <c r="B213" s="37" t="s">
        <v>135</v>
      </c>
      <c r="C213" s="63"/>
      <c r="D213" s="80">
        <f>F162</f>
        <v>15.01066587</v>
      </c>
      <c r="E213" s="37">
        <v>81.81</v>
      </c>
      <c r="F213" s="37">
        <v>3.0</v>
      </c>
      <c r="G213" s="77">
        <f t="shared" si="55"/>
        <v>245.43</v>
      </c>
      <c r="H213" s="78">
        <f t="shared" si="56"/>
        <v>3684.067725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3.5" customHeight="1">
      <c r="A214" s="79"/>
      <c r="B214" s="37" t="s">
        <v>161</v>
      </c>
      <c r="C214" s="61" t="s">
        <v>162</v>
      </c>
      <c r="D214" s="80">
        <f>H190</f>
        <v>1.004494655</v>
      </c>
      <c r="E214" s="37">
        <v>53.19</v>
      </c>
      <c r="F214" s="37">
        <v>1.0</v>
      </c>
      <c r="G214" s="77">
        <f t="shared" si="55"/>
        <v>53.19</v>
      </c>
      <c r="H214" s="78">
        <f t="shared" si="56"/>
        <v>53.42907068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3.5" customHeight="1">
      <c r="A215" s="63"/>
      <c r="B215" s="37" t="s">
        <v>169</v>
      </c>
      <c r="C215" s="63"/>
      <c r="D215" s="80">
        <f>H187</f>
        <v>2.535795525</v>
      </c>
      <c r="E215" s="37">
        <v>120.38</v>
      </c>
      <c r="F215" s="37">
        <v>1.0</v>
      </c>
      <c r="G215" s="77">
        <f t="shared" si="55"/>
        <v>120.38</v>
      </c>
      <c r="H215" s="78">
        <f t="shared" si="56"/>
        <v>305.2590653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4.25" customHeight="1">
      <c r="A216" s="75" t="s">
        <v>170</v>
      </c>
      <c r="B216" s="37" t="s">
        <v>171</v>
      </c>
      <c r="C216" s="61" t="s">
        <v>159</v>
      </c>
      <c r="D216" s="80">
        <f>F147</f>
        <v>3.752666468</v>
      </c>
      <c r="E216" s="37">
        <v>54.37</v>
      </c>
      <c r="F216" s="37">
        <f>(2/20)</f>
        <v>0.1</v>
      </c>
      <c r="G216" s="77">
        <f t="shared" si="55"/>
        <v>5.437</v>
      </c>
      <c r="H216" s="78">
        <f t="shared" si="56"/>
        <v>20.40324759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3.5" customHeight="1">
      <c r="A217" s="79"/>
      <c r="B217" s="37" t="s">
        <v>172</v>
      </c>
      <c r="C217" s="63"/>
      <c r="D217" s="80">
        <f>H193</f>
        <v>1.004494655</v>
      </c>
      <c r="E217" s="37">
        <v>3.26</v>
      </c>
      <c r="F217" s="37">
        <v>1.0</v>
      </c>
      <c r="G217" s="77">
        <f t="shared" si="55"/>
        <v>3.26</v>
      </c>
      <c r="H217" s="78">
        <f t="shared" si="56"/>
        <v>3.274652574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3.5" customHeight="1">
      <c r="A218" s="63"/>
      <c r="B218" s="37" t="s">
        <v>173</v>
      </c>
      <c r="C218" s="81" t="s">
        <v>162</v>
      </c>
      <c r="D218" s="80">
        <f>H190</f>
        <v>1.004494655</v>
      </c>
      <c r="E218" s="37">
        <v>3.26</v>
      </c>
      <c r="F218" s="37">
        <v>1.0</v>
      </c>
      <c r="G218" s="77">
        <f t="shared" si="55"/>
        <v>3.26</v>
      </c>
      <c r="H218" s="78">
        <f t="shared" si="56"/>
        <v>3.274652574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4.25" customHeight="1">
      <c r="A219" s="75" t="s">
        <v>174</v>
      </c>
      <c r="B219" s="37" t="s">
        <v>130</v>
      </c>
      <c r="C219" s="61" t="s">
        <v>159</v>
      </c>
      <c r="D219" s="80">
        <f>F147</f>
        <v>3.752666468</v>
      </c>
      <c r="E219" s="37">
        <v>181.92</v>
      </c>
      <c r="F219" s="37">
        <f>(3/5)</f>
        <v>0.6</v>
      </c>
      <c r="G219" s="77">
        <f t="shared" si="55"/>
        <v>109.152</v>
      </c>
      <c r="H219" s="78">
        <f t="shared" si="56"/>
        <v>409.6110503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3.5" customHeight="1">
      <c r="A220" s="79"/>
      <c r="B220" s="37" t="s">
        <v>172</v>
      </c>
      <c r="C220" s="79"/>
      <c r="D220" s="80">
        <f>H193</f>
        <v>1.004494655</v>
      </c>
      <c r="E220" s="37">
        <v>14.0</v>
      </c>
      <c r="F220" s="37">
        <v>1.0</v>
      </c>
      <c r="G220" s="77">
        <f t="shared" si="55"/>
        <v>14</v>
      </c>
      <c r="H220" s="78">
        <f t="shared" si="56"/>
        <v>14.06292516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3.5" customHeight="1">
      <c r="A221" s="79"/>
      <c r="B221" s="37" t="s">
        <v>175</v>
      </c>
      <c r="C221" s="79"/>
      <c r="D221" s="80">
        <f>H187</f>
        <v>2.535795525</v>
      </c>
      <c r="E221" s="37">
        <v>4.32</v>
      </c>
      <c r="F221" s="37">
        <v>1.0</v>
      </c>
      <c r="G221" s="77">
        <f t="shared" si="55"/>
        <v>4.32</v>
      </c>
      <c r="H221" s="78">
        <f t="shared" si="56"/>
        <v>10.95463667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3.5" customHeight="1">
      <c r="A222" s="79"/>
      <c r="B222" s="37" t="s">
        <v>176</v>
      </c>
      <c r="C222" s="63"/>
      <c r="D222" s="80">
        <f>F147</f>
        <v>3.752666468</v>
      </c>
      <c r="E222" s="37">
        <v>120.0</v>
      </c>
      <c r="F222" s="37">
        <f>(1/5)</f>
        <v>0.2</v>
      </c>
      <c r="G222" s="77">
        <f t="shared" si="55"/>
        <v>24</v>
      </c>
      <c r="H222" s="78">
        <f t="shared" si="56"/>
        <v>90.06399523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3.5" customHeight="1">
      <c r="A223" s="79"/>
      <c r="B223" s="37" t="s">
        <v>173</v>
      </c>
      <c r="C223" s="61" t="s">
        <v>162</v>
      </c>
      <c r="D223" s="80">
        <f>H190</f>
        <v>1.004494655</v>
      </c>
      <c r="E223" s="37">
        <v>19.36</v>
      </c>
      <c r="F223" s="37">
        <v>1.0</v>
      </c>
      <c r="G223" s="77">
        <f t="shared" si="55"/>
        <v>19.36</v>
      </c>
      <c r="H223" s="78">
        <f t="shared" si="56"/>
        <v>19.44701651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3.5" customHeight="1">
      <c r="A224" s="63"/>
      <c r="B224" s="37" t="s">
        <v>177</v>
      </c>
      <c r="C224" s="63"/>
      <c r="D224" s="80">
        <f>H187</f>
        <v>2.535795525</v>
      </c>
      <c r="E224" s="37">
        <v>23.97</v>
      </c>
      <c r="F224" s="37">
        <v>1.0</v>
      </c>
      <c r="G224" s="77">
        <f t="shared" si="55"/>
        <v>23.97</v>
      </c>
      <c r="H224" s="78">
        <f t="shared" si="56"/>
        <v>60.78301873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4.25" customHeight="1">
      <c r="A225" s="75" t="s">
        <v>178</v>
      </c>
      <c r="B225" s="37" t="s">
        <v>179</v>
      </c>
      <c r="C225" s="61" t="s">
        <v>159</v>
      </c>
      <c r="D225" s="80">
        <f>H187</f>
        <v>2.535795525</v>
      </c>
      <c r="E225" s="37">
        <v>0.64</v>
      </c>
      <c r="F225" s="37">
        <v>1.0</v>
      </c>
      <c r="G225" s="77">
        <f t="shared" si="55"/>
        <v>0.64</v>
      </c>
      <c r="H225" s="78">
        <f t="shared" si="56"/>
        <v>1.622909136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3.5" customHeight="1">
      <c r="A226" s="79"/>
      <c r="B226" s="37" t="s">
        <v>130</v>
      </c>
      <c r="C226" s="79"/>
      <c r="D226" s="80">
        <f>F147</f>
        <v>3.752666468</v>
      </c>
      <c r="E226" s="37">
        <v>277.47</v>
      </c>
      <c r="F226" s="37">
        <f t="shared" ref="F226:F227" si="57">(2/5)</f>
        <v>0.4</v>
      </c>
      <c r="G226" s="77">
        <f t="shared" si="55"/>
        <v>110.988</v>
      </c>
      <c r="H226" s="78">
        <f t="shared" si="56"/>
        <v>416.5009459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3.5" customHeight="1">
      <c r="A227" s="79"/>
      <c r="B227" s="37" t="s">
        <v>135</v>
      </c>
      <c r="C227" s="79"/>
      <c r="D227" s="80">
        <f>F162</f>
        <v>15.01066587</v>
      </c>
      <c r="E227" s="37">
        <v>18.31</v>
      </c>
      <c r="F227" s="37">
        <f t="shared" si="57"/>
        <v>0.4</v>
      </c>
      <c r="G227" s="77">
        <f t="shared" si="55"/>
        <v>7.324</v>
      </c>
      <c r="H227" s="78">
        <f t="shared" si="56"/>
        <v>109.9381168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3.5" customHeight="1">
      <c r="A228" s="79"/>
      <c r="B228" s="37" t="s">
        <v>160</v>
      </c>
      <c r="C228" s="63"/>
      <c r="D228" s="80">
        <f>H193</f>
        <v>1.004494655</v>
      </c>
      <c r="E228" s="37">
        <v>15.93</v>
      </c>
      <c r="F228" s="37">
        <v>48.0</v>
      </c>
      <c r="G228" s="77">
        <f t="shared" si="55"/>
        <v>764.64</v>
      </c>
      <c r="H228" s="78">
        <f t="shared" si="56"/>
        <v>768.0767927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ht="13.5" customHeight="1">
      <c r="A229" s="63"/>
      <c r="B229" s="37" t="s">
        <v>169</v>
      </c>
      <c r="C229" s="37" t="s">
        <v>180</v>
      </c>
      <c r="D229" s="80">
        <f>H187</f>
        <v>2.535795525</v>
      </c>
      <c r="E229" s="37">
        <v>0.64</v>
      </c>
      <c r="F229" s="37">
        <v>1.0</v>
      </c>
      <c r="G229" s="77">
        <f t="shared" si="55"/>
        <v>0.64</v>
      </c>
      <c r="H229" s="78">
        <f t="shared" si="56"/>
        <v>1.622909136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ht="13.5" customHeight="1">
      <c r="A230" s="75" t="s">
        <v>181</v>
      </c>
      <c r="B230" s="37" t="s">
        <v>182</v>
      </c>
      <c r="C230" s="61" t="s">
        <v>183</v>
      </c>
      <c r="D230" s="80">
        <f>F147</f>
        <v>3.752666468</v>
      </c>
      <c r="E230" s="37">
        <v>37.05</v>
      </c>
      <c r="F230" s="37">
        <v>2.0</v>
      </c>
      <c r="G230" s="77">
        <f t="shared" si="55"/>
        <v>74.1</v>
      </c>
      <c r="H230" s="78">
        <f t="shared" si="56"/>
        <v>278.0725853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ht="13.5" customHeight="1">
      <c r="A231" s="79"/>
      <c r="B231" s="37" t="s">
        <v>172</v>
      </c>
      <c r="C231" s="79"/>
      <c r="D231" s="80">
        <f>H193</f>
        <v>1.004494655</v>
      </c>
      <c r="E231" s="37">
        <v>36.95</v>
      </c>
      <c r="F231" s="37">
        <f>1/6</f>
        <v>0.1666666667</v>
      </c>
      <c r="G231" s="77">
        <f t="shared" si="55"/>
        <v>6.158333333</v>
      </c>
      <c r="H231" s="78">
        <f t="shared" si="56"/>
        <v>6.186012915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ht="13.5" customHeight="1">
      <c r="A232" s="79"/>
      <c r="B232" s="37" t="s">
        <v>184</v>
      </c>
      <c r="C232" s="79"/>
      <c r="D232" s="80">
        <f>F159</f>
        <v>3.002133174</v>
      </c>
      <c r="E232" s="37">
        <v>18.03</v>
      </c>
      <c r="F232" s="37">
        <f>(2/20)</f>
        <v>0.1</v>
      </c>
      <c r="G232" s="77">
        <f t="shared" si="55"/>
        <v>1.803</v>
      </c>
      <c r="H232" s="78">
        <f t="shared" si="56"/>
        <v>5.412846113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ht="13.5" customHeight="1">
      <c r="A233" s="79"/>
      <c r="B233" s="37" t="s">
        <v>185</v>
      </c>
      <c r="C233" s="63"/>
      <c r="D233" s="80">
        <f>F150</f>
        <v>10.00711058</v>
      </c>
      <c r="E233" s="37">
        <v>321.51</v>
      </c>
      <c r="F233" s="37">
        <f>(2/5)</f>
        <v>0.4</v>
      </c>
      <c r="G233" s="77">
        <f t="shared" si="55"/>
        <v>128.604</v>
      </c>
      <c r="H233" s="78">
        <f t="shared" si="56"/>
        <v>1286.954449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ht="13.5" customHeight="1">
      <c r="A234" s="63"/>
      <c r="B234" s="37" t="s">
        <v>173</v>
      </c>
      <c r="C234" s="37" t="s">
        <v>180</v>
      </c>
      <c r="D234" s="80">
        <f>H190</f>
        <v>1.004494655</v>
      </c>
      <c r="E234" s="37">
        <v>26.48</v>
      </c>
      <c r="F234" s="37">
        <v>1.0</v>
      </c>
      <c r="G234" s="77">
        <f t="shared" si="55"/>
        <v>26.48</v>
      </c>
      <c r="H234" s="78">
        <f t="shared" si="56"/>
        <v>26.59901845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ht="14.25" customHeight="1">
      <c r="A235" s="75" t="s">
        <v>186</v>
      </c>
      <c r="B235" s="37" t="s">
        <v>187</v>
      </c>
      <c r="C235" s="61" t="s">
        <v>159</v>
      </c>
      <c r="D235" s="80">
        <f>F147</f>
        <v>3.752666468</v>
      </c>
      <c r="E235" s="37">
        <v>8.63</v>
      </c>
      <c r="F235" s="37">
        <f t="shared" ref="F235:F236" si="58">5/5</f>
        <v>1</v>
      </c>
      <c r="G235" s="77">
        <f t="shared" si="55"/>
        <v>8.63</v>
      </c>
      <c r="H235" s="78">
        <f t="shared" si="56"/>
        <v>32.38551162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ht="13.5" customHeight="1">
      <c r="A236" s="79"/>
      <c r="B236" s="37" t="s">
        <v>166</v>
      </c>
      <c r="C236" s="79"/>
      <c r="D236" s="80">
        <f>F159</f>
        <v>3.002133174</v>
      </c>
      <c r="E236" s="37">
        <v>52.01</v>
      </c>
      <c r="F236" s="37">
        <f t="shared" si="58"/>
        <v>1</v>
      </c>
      <c r="G236" s="77">
        <f t="shared" si="55"/>
        <v>52.01</v>
      </c>
      <c r="H236" s="78">
        <f t="shared" si="56"/>
        <v>156.1409464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ht="13.5" customHeight="1">
      <c r="A237" s="79"/>
      <c r="B237" s="37" t="s">
        <v>172</v>
      </c>
      <c r="C237" s="79"/>
      <c r="D237" s="80">
        <f>H193</f>
        <v>1.004494655</v>
      </c>
      <c r="E237" s="37">
        <v>4.2</v>
      </c>
      <c r="F237" s="37">
        <v>1.0</v>
      </c>
      <c r="G237" s="77">
        <f t="shared" si="55"/>
        <v>4.2</v>
      </c>
      <c r="H237" s="78">
        <f t="shared" si="56"/>
        <v>4.218877549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ht="13.5" customHeight="1">
      <c r="A238" s="63"/>
      <c r="B238" s="37" t="s">
        <v>135</v>
      </c>
      <c r="C238" s="63"/>
      <c r="D238" s="80">
        <f>F162</f>
        <v>15.01066587</v>
      </c>
      <c r="E238" s="37">
        <v>14.53</v>
      </c>
      <c r="F238" s="37">
        <v>1.0</v>
      </c>
      <c r="G238" s="77">
        <f t="shared" si="55"/>
        <v>14.53</v>
      </c>
      <c r="H238" s="78">
        <f t="shared" si="56"/>
        <v>218.1049751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ht="13.5" customHeight="1">
      <c r="A239" s="82" t="s">
        <v>188</v>
      </c>
      <c r="B239" s="37" t="s">
        <v>187</v>
      </c>
      <c r="C239" s="37" t="s">
        <v>159</v>
      </c>
      <c r="D239" s="80">
        <f>F147</f>
        <v>3.752666468</v>
      </c>
      <c r="E239" s="37">
        <v>8.28</v>
      </c>
      <c r="F239" s="37">
        <f t="shared" ref="F239:F241" si="59">(1/5)</f>
        <v>0.2</v>
      </c>
      <c r="G239" s="77">
        <f t="shared" si="55"/>
        <v>1.656</v>
      </c>
      <c r="H239" s="78">
        <f t="shared" si="56"/>
        <v>6.214415671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ht="14.25" customHeight="1">
      <c r="A240" s="75" t="s">
        <v>189</v>
      </c>
      <c r="B240" s="37" t="s">
        <v>166</v>
      </c>
      <c r="C240" s="61" t="s">
        <v>159</v>
      </c>
      <c r="D240" s="80">
        <f>F159</f>
        <v>3.002133174</v>
      </c>
      <c r="E240" s="37">
        <v>1014.93</v>
      </c>
      <c r="F240" s="37">
        <f t="shared" si="59"/>
        <v>0.2</v>
      </c>
      <c r="G240" s="77">
        <f t="shared" si="55"/>
        <v>202.986</v>
      </c>
      <c r="H240" s="78">
        <f t="shared" si="56"/>
        <v>609.3910045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ht="13.5" customHeight="1">
      <c r="A241" s="79"/>
      <c r="B241" s="37" t="s">
        <v>190</v>
      </c>
      <c r="C241" s="79"/>
      <c r="D241" s="80">
        <f>F147</f>
        <v>3.752666468</v>
      </c>
      <c r="E241" s="37">
        <v>99.17</v>
      </c>
      <c r="F241" s="37">
        <f t="shared" si="59"/>
        <v>0.2</v>
      </c>
      <c r="G241" s="77">
        <f t="shared" si="55"/>
        <v>19.834</v>
      </c>
      <c r="H241" s="78">
        <f t="shared" si="56"/>
        <v>74.43038672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ht="13.5" customHeight="1">
      <c r="A242" s="79"/>
      <c r="B242" s="37" t="s">
        <v>135</v>
      </c>
      <c r="C242" s="79"/>
      <c r="D242" s="80">
        <f>F162</f>
        <v>15.01066587</v>
      </c>
      <c r="E242" s="37">
        <v>97.26</v>
      </c>
      <c r="F242" s="37">
        <f>(10/5)</f>
        <v>2</v>
      </c>
      <c r="G242" s="77">
        <f t="shared" si="55"/>
        <v>194.52</v>
      </c>
      <c r="H242" s="78">
        <f t="shared" si="56"/>
        <v>2919.874725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ht="13.5" customHeight="1">
      <c r="A243" s="79"/>
      <c r="B243" s="37" t="s">
        <v>172</v>
      </c>
      <c r="C243" s="63"/>
      <c r="D243" s="80">
        <f>H193</f>
        <v>1.004494655</v>
      </c>
      <c r="E243" s="37">
        <v>23.46</v>
      </c>
      <c r="F243" s="37">
        <v>1.0</v>
      </c>
      <c r="G243" s="77">
        <f t="shared" si="55"/>
        <v>23.46</v>
      </c>
      <c r="H243" s="78">
        <f t="shared" si="56"/>
        <v>23.5654446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ht="13.5" customHeight="1">
      <c r="A244" s="63"/>
      <c r="B244" s="37" t="s">
        <v>191</v>
      </c>
      <c r="C244" s="37" t="s">
        <v>162</v>
      </c>
      <c r="D244" s="80">
        <f>H187</f>
        <v>2.535795525</v>
      </c>
      <c r="E244" s="37">
        <v>23.46</v>
      </c>
      <c r="F244" s="37">
        <v>1.0</v>
      </c>
      <c r="G244" s="77">
        <f t="shared" si="55"/>
        <v>23.46</v>
      </c>
      <c r="H244" s="78">
        <f t="shared" si="56"/>
        <v>59.48976301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ht="14.25" customHeight="1">
      <c r="A245" s="75" t="s">
        <v>192</v>
      </c>
      <c r="B245" s="37" t="s">
        <v>193</v>
      </c>
      <c r="C245" s="61" t="s">
        <v>162</v>
      </c>
      <c r="D245" s="80">
        <f>H190</f>
        <v>1.004494655</v>
      </c>
      <c r="E245" s="37">
        <v>348.0</v>
      </c>
      <c r="F245" s="37">
        <f t="shared" ref="F245:F247" si="60">1/240</f>
        <v>0.004166666667</v>
      </c>
      <c r="G245" s="77">
        <f t="shared" si="55"/>
        <v>1.45</v>
      </c>
      <c r="H245" s="78">
        <f t="shared" si="56"/>
        <v>1.456517249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ht="13.5" customHeight="1">
      <c r="A246" s="79"/>
      <c r="B246" s="37" t="s">
        <v>194</v>
      </c>
      <c r="C246" s="79"/>
      <c r="D246" s="80">
        <f>H187</f>
        <v>2.535795525</v>
      </c>
      <c r="E246" s="37">
        <v>348.0</v>
      </c>
      <c r="F246" s="37">
        <f t="shared" si="60"/>
        <v>0.004166666667</v>
      </c>
      <c r="G246" s="77">
        <f t="shared" si="55"/>
        <v>1.45</v>
      </c>
      <c r="H246" s="78">
        <f t="shared" si="56"/>
        <v>3.676903511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ht="13.5" customHeight="1">
      <c r="A247" s="79"/>
      <c r="B247" s="37" t="s">
        <v>195</v>
      </c>
      <c r="C247" s="79"/>
      <c r="D247" s="80">
        <f>H196</f>
        <v>0.2565832101</v>
      </c>
      <c r="E247" s="37">
        <v>354.56</v>
      </c>
      <c r="F247" s="37">
        <f t="shared" si="60"/>
        <v>0.004166666667</v>
      </c>
      <c r="G247" s="77">
        <f t="shared" si="55"/>
        <v>1.477333333</v>
      </c>
      <c r="H247" s="78">
        <f t="shared" si="56"/>
        <v>0.3790589291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ht="13.5" customHeight="1">
      <c r="A248" s="79"/>
      <c r="B248" s="37" t="s">
        <v>196</v>
      </c>
      <c r="C248" s="79"/>
      <c r="D248" s="80">
        <f>F168</f>
        <v>0.500355529</v>
      </c>
      <c r="E248" s="37">
        <v>2092.37</v>
      </c>
      <c r="F248" s="37">
        <f>5/5</f>
        <v>1</v>
      </c>
      <c r="G248" s="77">
        <f t="shared" si="55"/>
        <v>2092.37</v>
      </c>
      <c r="H248" s="78">
        <f t="shared" si="56"/>
        <v>1046.928898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ht="13.5" customHeight="1">
      <c r="A249" s="63"/>
      <c r="B249" s="37" t="s">
        <v>197</v>
      </c>
      <c r="C249" s="63"/>
      <c r="D249" s="80">
        <f>F168</f>
        <v>0.500355529</v>
      </c>
      <c r="E249" s="37">
        <v>3250.73</v>
      </c>
      <c r="F249" s="37">
        <f>1/240</f>
        <v>0.004166666667</v>
      </c>
      <c r="G249" s="77">
        <f t="shared" si="55"/>
        <v>13.54470833</v>
      </c>
      <c r="H249" s="78">
        <f t="shared" si="56"/>
        <v>6.777169704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ht="13.5" customHeight="1">
      <c r="A250" s="83" t="s">
        <v>127</v>
      </c>
      <c r="B250" s="2"/>
      <c r="C250" s="2"/>
      <c r="D250" s="2"/>
      <c r="E250" s="2"/>
      <c r="F250" s="2"/>
      <c r="G250" s="3"/>
      <c r="H250" s="84">
        <f>SUM(H200:H249)</f>
        <v>20380.92643</v>
      </c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</row>
    <row r="251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</sheetData>
  <mergeCells count="78">
    <mergeCell ref="B188:B189"/>
    <mergeCell ref="B191:B192"/>
    <mergeCell ref="C191:C192"/>
    <mergeCell ref="B194:B195"/>
    <mergeCell ref="C194:C195"/>
    <mergeCell ref="A197:H197"/>
    <mergeCell ref="C200:C202"/>
    <mergeCell ref="A216:A218"/>
    <mergeCell ref="A219:A224"/>
    <mergeCell ref="A225:A229"/>
    <mergeCell ref="A230:A234"/>
    <mergeCell ref="A235:A238"/>
    <mergeCell ref="A240:A244"/>
    <mergeCell ref="A245:A249"/>
    <mergeCell ref="C219:C222"/>
    <mergeCell ref="C223:C224"/>
    <mergeCell ref="C225:C228"/>
    <mergeCell ref="C230:C233"/>
    <mergeCell ref="C235:C238"/>
    <mergeCell ref="C240:C243"/>
    <mergeCell ref="C245:C249"/>
    <mergeCell ref="A250:G250"/>
    <mergeCell ref="A200:A203"/>
    <mergeCell ref="A204:A207"/>
    <mergeCell ref="C204:C206"/>
    <mergeCell ref="A208:A215"/>
    <mergeCell ref="C208:C213"/>
    <mergeCell ref="C214:C215"/>
    <mergeCell ref="C216:C217"/>
    <mergeCell ref="A1:H1"/>
    <mergeCell ref="C3:E3"/>
    <mergeCell ref="C4:E4"/>
    <mergeCell ref="C10:E10"/>
    <mergeCell ref="C11:E11"/>
    <mergeCell ref="C12:E12"/>
    <mergeCell ref="C13:E13"/>
    <mergeCell ref="B16:E16"/>
    <mergeCell ref="B17:D17"/>
    <mergeCell ref="B18:D18"/>
    <mergeCell ref="B19:D19"/>
    <mergeCell ref="B20:D20"/>
    <mergeCell ref="B21:D21"/>
    <mergeCell ref="B22:D22"/>
    <mergeCell ref="A24:H24"/>
    <mergeCell ref="A128:H128"/>
    <mergeCell ref="C141:D141"/>
    <mergeCell ref="B142:B143"/>
    <mergeCell ref="C142:C143"/>
    <mergeCell ref="B145:B146"/>
    <mergeCell ref="C145:C146"/>
    <mergeCell ref="B148:B149"/>
    <mergeCell ref="C148:C149"/>
    <mergeCell ref="B151:B152"/>
    <mergeCell ref="C151:C152"/>
    <mergeCell ref="B154:B155"/>
    <mergeCell ref="C154:C155"/>
    <mergeCell ref="C157:C158"/>
    <mergeCell ref="B157:B158"/>
    <mergeCell ref="B160:B161"/>
    <mergeCell ref="C160:C161"/>
    <mergeCell ref="B163:B164"/>
    <mergeCell ref="C163:C164"/>
    <mergeCell ref="B166:B167"/>
    <mergeCell ref="C166:C167"/>
    <mergeCell ref="B169:B170"/>
    <mergeCell ref="C169:C170"/>
    <mergeCell ref="B172:B173"/>
    <mergeCell ref="C172:C173"/>
    <mergeCell ref="B175:B176"/>
    <mergeCell ref="C175:C176"/>
    <mergeCell ref="C178:C179"/>
    <mergeCell ref="B178:B179"/>
    <mergeCell ref="B181:B182"/>
    <mergeCell ref="C181:C182"/>
    <mergeCell ref="C184:D184"/>
    <mergeCell ref="B185:B186"/>
    <mergeCell ref="C185:C186"/>
    <mergeCell ref="C188:C189"/>
  </mergeCells>
  <printOptions/>
  <pageMargins bottom="0.0" footer="0.0" header="0.0" left="0.0" right="0.0" top="0.0"/>
  <pageSetup paperSize="9" scale="60" orientation="portrait" pageOrder="overThenDown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6" width="8.63"/>
  </cols>
  <sheetData>
    <row r="1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3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138888888888889" footer="0.0" header="0.0" left="0.0" right="0.0" top="0.138888888888889"/>
  <pageSetup paperSize="9" orientation="portrait"/>
  <headerFooter>
    <oddHeader>&amp;C&amp;A</oddHeader>
    <oddFooter>&amp;CPágina &amp;P</oddFooter>
  </headerFooter>
  <drawing r:id="rId1"/>
</worksheet>
</file>