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105" yWindow="-15" windowWidth="3285" windowHeight="8100" tabRatio="816"/>
  </bookViews>
  <sheets>
    <sheet name="Geral" sheetId="1" r:id="rId1"/>
    <sheet name="Plan3" sheetId="3" state="hidden" r:id="rId2"/>
    <sheet name="ADM" sheetId="4" r:id="rId3"/>
    <sheet name="CON" sheetId="5" r:id="rId4"/>
    <sheet name="CAN" sheetId="6" r:id="rId5"/>
    <sheet name="CLI" sheetId="7" r:id="rId6"/>
    <sheet name="POS" sheetId="8" r:id="rId7"/>
    <sheet name="MAT" sheetId="9" r:id="rId8"/>
    <sheet name="ADO" sheetId="10" r:id="rId9"/>
    <sheet name="ISO" sheetId="11" r:id="rId10"/>
    <sheet name="TRE" sheetId="12" r:id="rId11"/>
    <sheet name="EST" sheetId="13" r:id="rId12"/>
    <sheet name="Cronograma" sheetId="14" r:id="rId13"/>
  </sheets>
  <definedNames>
    <definedName name="_xlnm.Print_Area" localSheetId="2">ADM!$A$1:$K$210</definedName>
    <definedName name="_xlnm.Print_Area" localSheetId="8">ADO!$A$1:$K$159</definedName>
    <definedName name="_xlnm.Print_Area" localSheetId="4">CAN!$A$1:$K$205</definedName>
    <definedName name="_xlnm.Print_Area" localSheetId="5">CLI!$A$1:$K$218</definedName>
    <definedName name="_xlnm.Print_Area" localSheetId="3">CON!$A$1:$K$245</definedName>
    <definedName name="_xlnm.Print_Area" localSheetId="12">Cronograma!$A$1:$L$44</definedName>
    <definedName name="_xlnm.Print_Area" localSheetId="11">EST!$A$1:$K$96</definedName>
    <definedName name="_xlnm.Print_Area" localSheetId="0">Geral!$A$11:$K$290</definedName>
    <definedName name="_xlnm.Print_Area" localSheetId="9">ISO!$A$1:$K$157</definedName>
    <definedName name="_xlnm.Print_Area" localSheetId="7">MAT!$A$1:$K$161</definedName>
    <definedName name="_xlnm.Print_Area" localSheetId="6">POS!$A$1:$K$159</definedName>
    <definedName name="_xlnm.Print_Area" localSheetId="10">TRE!$A$1:$K$94</definedName>
    <definedName name="_xlnm.Print_Titles" localSheetId="2">ADM!$1:$10</definedName>
    <definedName name="_xlnm.Print_Titles" localSheetId="8">ADO!$1:$10</definedName>
    <definedName name="_xlnm.Print_Titles" localSheetId="4">CAN!$1:$10</definedName>
    <definedName name="_xlnm.Print_Titles" localSheetId="5">CLI!$1:$10</definedName>
    <definedName name="_xlnm.Print_Titles" localSheetId="3">CON!$1:$10</definedName>
    <definedName name="_xlnm.Print_Titles" localSheetId="11">EST!$1:$10</definedName>
    <definedName name="_xlnm.Print_Titles" localSheetId="0">Geral!$1:$10</definedName>
    <definedName name="_xlnm.Print_Titles" localSheetId="9">ISO!$1:$10</definedName>
    <definedName name="_xlnm.Print_Titles" localSheetId="7">MAT!$1:$10</definedName>
    <definedName name="_xlnm.Print_Titles" localSheetId="6">POS!$1:$10</definedName>
    <definedName name="_xlnm.Print_Titles" localSheetId="10">TRE!$1:$10</definedName>
  </definedNames>
  <calcPr calcId="125725"/>
</workbook>
</file>

<file path=xl/calcChain.xml><?xml version="1.0" encoding="utf-8"?>
<calcChain xmlns="http://schemas.openxmlformats.org/spreadsheetml/2006/main">
  <c r="L41" i="14"/>
  <c r="L39"/>
  <c r="L37"/>
  <c r="L35"/>
  <c r="L33"/>
  <c r="L31"/>
  <c r="L29"/>
  <c r="L27"/>
  <c r="L25"/>
  <c r="L23"/>
  <c r="L21"/>
  <c r="L19"/>
  <c r="L17"/>
  <c r="L15"/>
  <c r="L13"/>
  <c r="L11"/>
  <c r="L9"/>
  <c r="E34" i="9"/>
  <c r="E34" i="8"/>
  <c r="E182" i="6"/>
  <c r="E185" i="4"/>
  <c r="E218" i="5"/>
  <c r="E33" i="4"/>
  <c r="L43" i="14" l="1"/>
  <c r="E17" i="4"/>
  <c r="E66" i="5" l="1"/>
  <c r="E136" i="11"/>
  <c r="E140" i="10"/>
  <c r="E143" i="9"/>
  <c r="E183" i="6"/>
  <c r="E53" i="10"/>
  <c r="E58" i="9"/>
  <c r="E57"/>
  <c r="E13" i="8" l="1"/>
  <c r="E130" s="1"/>
  <c r="E139"/>
  <c r="E138"/>
  <c r="H248" i="1"/>
  <c r="H88" i="12" s="1"/>
  <c r="F248" i="1"/>
  <c r="F88" i="12" s="1"/>
  <c r="H153" i="10" l="1"/>
  <c r="F153"/>
  <c r="E172" i="6"/>
  <c r="E92" i="5"/>
  <c r="E56" i="6"/>
  <c r="E55"/>
  <c r="E62"/>
  <c r="E199" i="7"/>
  <c r="E187"/>
  <c r="E157"/>
  <c r="E151"/>
  <c r="E76"/>
  <c r="E206"/>
  <c r="E201"/>
  <c r="E200"/>
  <c r="E195"/>
  <c r="E188"/>
  <c r="E186"/>
  <c r="E185"/>
  <c r="E95"/>
  <c r="E94"/>
  <c r="E92"/>
  <c r="E88"/>
  <c r="E54"/>
  <c r="E52"/>
  <c r="E53"/>
  <c r="E248" i="1"/>
  <c r="E247"/>
  <c r="E260" l="1"/>
  <c r="E258"/>
  <c r="E256"/>
  <c r="E254"/>
  <c r="E252"/>
  <c r="E250"/>
  <c r="E259"/>
  <c r="E257"/>
  <c r="E255"/>
  <c r="E253"/>
  <c r="E251"/>
  <c r="E249"/>
  <c r="E223" i="5"/>
  <c r="E222"/>
  <c r="E225"/>
  <c r="E224"/>
  <c r="E59" i="4"/>
  <c r="E190" s="1"/>
  <c r="E56" i="13"/>
  <c r="E54" i="12"/>
  <c r="E21" i="13" l="1"/>
  <c r="E21" i="12"/>
  <c r="E27" i="11"/>
  <c r="E245" i="1" l="1"/>
  <c r="E244" s="1"/>
  <c r="E246" l="1"/>
  <c r="E12" l="1"/>
  <c r="E78" i="13"/>
  <c r="E79" s="1"/>
  <c r="E76"/>
  <c r="E77" s="1"/>
  <c r="E85" s="1"/>
  <c r="E87" s="1"/>
  <c r="E17"/>
  <c r="E16"/>
  <c r="E93"/>
  <c r="E86"/>
  <c r="E52"/>
  <c r="K10"/>
  <c r="E84" i="12"/>
  <c r="E76"/>
  <c r="E77" s="1"/>
  <c r="E74"/>
  <c r="E91"/>
  <c r="E50"/>
  <c r="E17"/>
  <c r="E16"/>
  <c r="K10"/>
  <c r="E54" i="4"/>
  <c r="E151" i="11"/>
  <c r="E145"/>
  <c r="E146" s="1"/>
  <c r="E140"/>
  <c r="E139"/>
  <c r="E135"/>
  <c r="E134"/>
  <c r="E131"/>
  <c r="E147" s="1"/>
  <c r="E72"/>
  <c r="E69"/>
  <c r="E70"/>
  <c r="E56"/>
  <c r="E16"/>
  <c r="E20"/>
  <c r="E17"/>
  <c r="E152" i="10"/>
  <c r="E143"/>
  <c r="E139"/>
  <c r="E137"/>
  <c r="E123" s="1"/>
  <c r="E135"/>
  <c r="E149" s="1"/>
  <c r="E132"/>
  <c r="E71"/>
  <c r="E69"/>
  <c r="E68"/>
  <c r="E55"/>
  <c r="E16"/>
  <c r="E17"/>
  <c r="E155" i="9"/>
  <c r="E138"/>
  <c r="E152" s="1"/>
  <c r="E135"/>
  <c r="E37" s="1"/>
  <c r="E35" i="6"/>
  <c r="E142" i="9"/>
  <c r="E140"/>
  <c r="E126" s="1"/>
  <c r="E179" i="6"/>
  <c r="E75" i="9"/>
  <c r="E73"/>
  <c r="E72"/>
  <c r="E146"/>
  <c r="E60"/>
  <c r="E59"/>
  <c r="E17"/>
  <c r="E156" i="8"/>
  <c r="E153"/>
  <c r="E140"/>
  <c r="E134"/>
  <c r="E149" s="1"/>
  <c r="E93" i="5"/>
  <c r="E81" i="6"/>
  <c r="E85" i="7"/>
  <c r="E69" i="8"/>
  <c r="E67"/>
  <c r="E83" i="7"/>
  <c r="E79" i="6"/>
  <c r="E90" i="5"/>
  <c r="E66" i="8"/>
  <c r="E54"/>
  <c r="E35"/>
  <c r="E17"/>
  <c r="E16"/>
  <c r="E20"/>
  <c r="E212" i="7"/>
  <c r="E207"/>
  <c r="E209"/>
  <c r="E197"/>
  <c r="E193"/>
  <c r="E184"/>
  <c r="E181" i="6"/>
  <c r="E183" i="7"/>
  <c r="E182"/>
  <c r="E180"/>
  <c r="E208" s="1"/>
  <c r="E179"/>
  <c r="E82"/>
  <c r="E167" l="1"/>
  <c r="E75" i="12"/>
  <c r="E83" s="1"/>
  <c r="E85" s="1"/>
  <c r="E60" i="7"/>
  <c r="E55"/>
  <c r="E17"/>
  <c r="E199" i="6"/>
  <c r="E196"/>
  <c r="E180"/>
  <c r="E178"/>
  <c r="E176"/>
  <c r="E195" s="1"/>
  <c r="E175"/>
  <c r="E59"/>
  <c r="E58"/>
  <c r="E57"/>
  <c r="E17"/>
  <c r="E16"/>
  <c r="E239" i="5"/>
  <c r="E204" i="4"/>
  <c r="E230" i="5"/>
  <c r="E214"/>
  <c r="E215" s="1"/>
  <c r="E213"/>
  <c r="E212"/>
  <c r="E210"/>
  <c r="E235" s="1"/>
  <c r="E65"/>
  <c r="E64"/>
  <c r="E79" i="4"/>
  <c r="E60"/>
  <c r="E91" i="5"/>
  <c r="E58"/>
  <c r="E52" i="4"/>
  <c r="E20" i="5"/>
  <c r="E16"/>
  <c r="E158" i="6" l="1"/>
  <c r="E201" i="4"/>
  <c r="E195"/>
  <c r="E194"/>
  <c r="E193"/>
  <c r="E192"/>
  <c r="E191"/>
  <c r="E186"/>
  <c r="E184"/>
  <c r="E182"/>
  <c r="E181"/>
  <c r="E180"/>
  <c r="E178"/>
  <c r="E177"/>
  <c r="E80"/>
  <c r="E78"/>
  <c r="E16"/>
  <c r="E200" l="1"/>
  <c r="E243" i="1" l="1"/>
  <c r="E19" s="1"/>
  <c r="E206"/>
  <c r="E13" l="1"/>
  <c r="E32"/>
  <c r="E275"/>
  <c r="E154" i="11" l="1"/>
  <c r="E141"/>
  <c r="E128"/>
  <c r="E55"/>
  <c r="E54"/>
  <c r="K10"/>
  <c r="E129" l="1"/>
  <c r="E133"/>
  <c r="E127"/>
  <c r="E130" s="1"/>
  <c r="E144" l="1"/>
  <c r="E148" s="1"/>
  <c r="E120"/>
  <c r="E132"/>
  <c r="E156" i="10"/>
  <c r="E144"/>
  <c r="E138"/>
  <c r="E133"/>
  <c r="E54"/>
  <c r="K10"/>
  <c r="E131" l="1"/>
  <c r="E134" l="1"/>
  <c r="E147"/>
  <c r="E148" l="1"/>
  <c r="E158" i="9" l="1"/>
  <c r="E147"/>
  <c r="E141"/>
  <c r="E136"/>
  <c r="E16"/>
  <c r="K10"/>
  <c r="E134" l="1"/>
  <c r="E137" l="1"/>
  <c r="E150"/>
  <c r="E151" s="1"/>
  <c r="E150" i="8" l="1"/>
  <c r="E144"/>
  <c r="E133"/>
  <c r="E122" s="1"/>
  <c r="E57"/>
  <c r="E143" s="1"/>
  <c r="E53"/>
  <c r="E52"/>
  <c r="K10"/>
  <c r="E129" l="1"/>
  <c r="E132" s="1"/>
  <c r="E135"/>
  <c r="E137"/>
  <c r="E131"/>
  <c r="E147" l="1"/>
  <c r="E148" s="1"/>
  <c r="E215" i="7"/>
  <c r="E198"/>
  <c r="E196"/>
  <c r="E194"/>
  <c r="E192"/>
  <c r="E176"/>
  <c r="E59"/>
  <c r="E191" s="1"/>
  <c r="E175"/>
  <c r="E16"/>
  <c r="K10"/>
  <c r="E177" l="1"/>
  <c r="E178"/>
  <c r="E204"/>
  <c r="E205" s="1"/>
  <c r="E202" i="6" l="1"/>
  <c r="E190"/>
  <c r="E189"/>
  <c r="E188"/>
  <c r="E187"/>
  <c r="E173"/>
  <c r="E77"/>
  <c r="E78" s="1"/>
  <c r="K10"/>
  <c r="E171" l="1"/>
  <c r="E193" s="1"/>
  <c r="E186"/>
  <c r="E174" l="1"/>
  <c r="E194"/>
  <c r="E242" i="5" l="1"/>
  <c r="E236"/>
  <c r="E229"/>
  <c r="E228"/>
  <c r="E227"/>
  <c r="E226"/>
  <c r="E219"/>
  <c r="E216"/>
  <c r="E209"/>
  <c r="E192" s="1"/>
  <c r="E206"/>
  <c r="E207" s="1"/>
  <c r="E88"/>
  <c r="E89" s="1"/>
  <c r="E60"/>
  <c r="E59"/>
  <c r="E57"/>
  <c r="E56"/>
  <c r="K10"/>
  <c r="E205" l="1"/>
  <c r="E233" s="1"/>
  <c r="E208" l="1"/>
  <c r="E234"/>
  <c r="E207" i="4" l="1"/>
  <c r="E183"/>
  <c r="E176"/>
  <c r="E159" s="1"/>
  <c r="E173"/>
  <c r="E174" s="1"/>
  <c r="E81"/>
  <c r="E55"/>
  <c r="E53"/>
  <c r="E51"/>
  <c r="E50"/>
  <c r="K10"/>
  <c r="E172" l="1"/>
  <c r="E198" s="1"/>
  <c r="E175" l="1"/>
  <c r="E199" l="1"/>
  <c r="K10" i="1" l="1"/>
  <c r="E63" i="5"/>
  <c r="E217" s="1"/>
</calcChain>
</file>

<file path=xl/sharedStrings.xml><?xml version="1.0" encoding="utf-8"?>
<sst xmlns="http://schemas.openxmlformats.org/spreadsheetml/2006/main" count="5635" uniqueCount="929">
  <si>
    <t>ITEM</t>
  </si>
  <si>
    <t>DESCRIÇÃO</t>
  </si>
  <si>
    <t>UNID.</t>
  </si>
  <si>
    <t>QUANTID.</t>
  </si>
  <si>
    <t>1.</t>
  </si>
  <si>
    <t>2.</t>
  </si>
  <si>
    <t>INSTALAÇÕES ELÉTRICAS</t>
  </si>
  <si>
    <t>REVESTIMENTOS</t>
  </si>
  <si>
    <t>1.1</t>
  </si>
  <si>
    <t>1.2</t>
  </si>
  <si>
    <t>2.1</t>
  </si>
  <si>
    <t>2.2</t>
  </si>
  <si>
    <t>3.1</t>
  </si>
  <si>
    <t>3.2</t>
  </si>
  <si>
    <t>Total Geral</t>
  </si>
  <si>
    <t>Total do item 1</t>
  </si>
  <si>
    <t>Total do item 2</t>
  </si>
  <si>
    <t>Total do item 3</t>
  </si>
  <si>
    <t>Total do item 4</t>
  </si>
  <si>
    <t>TOTAL</t>
  </si>
  <si>
    <t>CUSTO UNIT.</t>
  </si>
  <si>
    <t>CUSTO TOTAL</t>
  </si>
  <si>
    <t>MÃO DE OBRA</t>
  </si>
  <si>
    <t>MATERIAL</t>
  </si>
  <si>
    <t>SERVIÇOS INICIAIS</t>
  </si>
  <si>
    <t>COMPLEMENTAÇÃO DA OBRA</t>
  </si>
  <si>
    <t>Limpeza permanente da obra</t>
  </si>
  <si>
    <t>unid.</t>
  </si>
  <si>
    <t>m</t>
  </si>
  <si>
    <t>m²</t>
  </si>
  <si>
    <t xml:space="preserve">ORÇAMENTO ESTIMATIVO DE OBRA </t>
  </si>
  <si>
    <t>Condutor 2,5mm², isolação 750v</t>
  </si>
  <si>
    <t xml:space="preserve">Eletroduto 20mm  3/4" PVC rigido </t>
  </si>
  <si>
    <t>4.</t>
  </si>
  <si>
    <t>4.1</t>
  </si>
  <si>
    <t>4.3</t>
  </si>
  <si>
    <t>4.4</t>
  </si>
  <si>
    <t>4.5</t>
  </si>
  <si>
    <t>5.</t>
  </si>
  <si>
    <t>5.1</t>
  </si>
  <si>
    <t>5.2</t>
  </si>
  <si>
    <t>5.3</t>
  </si>
  <si>
    <t>5.4</t>
  </si>
  <si>
    <t>Total do item 6</t>
  </si>
  <si>
    <t>7.</t>
  </si>
  <si>
    <t>Total do item 7</t>
  </si>
  <si>
    <t>9.</t>
  </si>
  <si>
    <t>m³</t>
  </si>
  <si>
    <t>Caixa passagem PVC   2 x 4"</t>
  </si>
  <si>
    <t>Condutor 4mm², isolação 750v</t>
  </si>
  <si>
    <t>Dijntor termonagnético unipolar curva c padrão Dim  de 16 A</t>
  </si>
  <si>
    <t>Dijntor termonagnético tripolar curva c padrão Dim  de 50 A</t>
  </si>
  <si>
    <t>Tomada monofasica 2P + t  - 20A</t>
  </si>
  <si>
    <t>Interrupitor simples 1 tecla</t>
  </si>
  <si>
    <t>INSTALAÇÕES HIDRO-SANITÁRIAS</t>
  </si>
  <si>
    <t>Joelho 90° serie normal 100mm</t>
  </si>
  <si>
    <t>Joelho 45° serie normal 75mm</t>
  </si>
  <si>
    <t>Joelho 90° serie normal 75mm</t>
  </si>
  <si>
    <t>Tê série nomal 100mm</t>
  </si>
  <si>
    <t>Tê série nomal 75mm</t>
  </si>
  <si>
    <t xml:space="preserve">Sifão fléxivel p/ pias e lavatório </t>
  </si>
  <si>
    <t>Redução excêntrica série normal 100 x 75 mm</t>
  </si>
  <si>
    <t>Caixa sinf.  Mont. c/ grelha e porta grelha150 x 185 x 75 mm</t>
  </si>
  <si>
    <t>Lavatório/ cuba de embutir louça cor 35 X 50cm ou equivalente.</t>
  </si>
  <si>
    <t>torneira p/ lav. cromada c/ sistema automático de fechamento</t>
  </si>
  <si>
    <t xml:space="preserve">torneira p/ pia de enchague </t>
  </si>
  <si>
    <t>Registro de gaveta 50mm c/ canopla</t>
  </si>
  <si>
    <t>PINTURA</t>
  </si>
  <si>
    <t>6.</t>
  </si>
  <si>
    <t>6.1</t>
  </si>
  <si>
    <t>6.2</t>
  </si>
  <si>
    <t>6.3</t>
  </si>
  <si>
    <t>6.4</t>
  </si>
  <si>
    <t>Total do item 5</t>
  </si>
  <si>
    <t>6.5</t>
  </si>
  <si>
    <t>6.6</t>
  </si>
  <si>
    <t>6.7</t>
  </si>
  <si>
    <t>6.8</t>
  </si>
  <si>
    <t>6.9</t>
  </si>
  <si>
    <t>6.10</t>
  </si>
  <si>
    <t>6.11</t>
  </si>
  <si>
    <t>6.12</t>
  </si>
  <si>
    <t>7.1</t>
  </si>
  <si>
    <t>8.</t>
  </si>
  <si>
    <t>Total do item 8</t>
  </si>
  <si>
    <t>Total do item 9</t>
  </si>
  <si>
    <t>7.2</t>
  </si>
  <si>
    <t>Condutor 16mm², isolação 1Kv</t>
  </si>
  <si>
    <t>Interrupitor simples 2 tecla</t>
  </si>
  <si>
    <t xml:space="preserve">Tomada monofasica 2P + t  - 15A </t>
  </si>
  <si>
    <t>Dijntor termonagnético unipolar curva c padrão Dim  de 20 A</t>
  </si>
  <si>
    <t>Luminarias fluorescente compacta  26w C/  lampada</t>
  </si>
  <si>
    <t>Quadro de distribuição C/ Barramento trifasico 18 dij. Dim</t>
  </si>
  <si>
    <t xml:space="preserve">Interrpitor diferncial residual </t>
  </si>
  <si>
    <t>Eletroduto PVC Rígido 3/4 "</t>
  </si>
  <si>
    <t>Moldura para conector RJ45 Simples</t>
  </si>
  <si>
    <t>Cabo par trançado UTP cat 5e</t>
  </si>
  <si>
    <t>Quadro de distribuição para telefone n°4 (60x60x12 cm ) em chapa metalica, padrão telebras , fornecimento e instalação</t>
  </si>
  <si>
    <t>Cabo telefonico CCI-50 6 pares (uso interno) - Fornecimento e instalação)</t>
  </si>
  <si>
    <t>Moldura para conector  telefone Simples</t>
  </si>
  <si>
    <t>Caixas octagonais</t>
  </si>
  <si>
    <t>1.3</t>
  </si>
  <si>
    <t>1.4</t>
  </si>
  <si>
    <t>MOVIMENTO DE TERRA</t>
  </si>
  <si>
    <t>ESQUADRIAS</t>
  </si>
  <si>
    <t>3.</t>
  </si>
  <si>
    <t>INFRA-ESTRUTURA</t>
  </si>
  <si>
    <t>SUPERESTRUTURA</t>
  </si>
  <si>
    <t>4.2</t>
  </si>
  <si>
    <t>COBERTURA</t>
  </si>
  <si>
    <t>7.3</t>
  </si>
  <si>
    <t>7.4</t>
  </si>
  <si>
    <t>INSTALAÇÕES DE LÓGICA E TELEFONE</t>
  </si>
  <si>
    <t>11.</t>
  </si>
  <si>
    <t>IMPERMEABILIZAÇÃO</t>
  </si>
  <si>
    <t>11.1</t>
  </si>
  <si>
    <t>11.2</t>
  </si>
  <si>
    <t>Total do item 11</t>
  </si>
  <si>
    <t>INSTALAÇÃO DE COMBATE A INCÊNDIO</t>
  </si>
  <si>
    <t>17.</t>
  </si>
  <si>
    <t>PAISAGISMO E URBANIZAÇÃO</t>
  </si>
  <si>
    <t>17.1</t>
  </si>
  <si>
    <t>17.2</t>
  </si>
  <si>
    <t>17.3</t>
  </si>
  <si>
    <t>Total do item 17</t>
  </si>
  <si>
    <t>REFERÊNCIA</t>
  </si>
  <si>
    <t>Ligação Provisória de Água</t>
  </si>
  <si>
    <t>1.5</t>
  </si>
  <si>
    <t>1.6</t>
  </si>
  <si>
    <t>1.7</t>
  </si>
  <si>
    <t>Ligação definitiva de água</t>
  </si>
  <si>
    <t>Ligação definitiva de energia elétrica</t>
  </si>
  <si>
    <t>14.</t>
  </si>
  <si>
    <t>VIDROS</t>
  </si>
  <si>
    <t>14.1</t>
  </si>
  <si>
    <t>14.2</t>
  </si>
  <si>
    <t>14.3</t>
  </si>
  <si>
    <t>Total do item 14</t>
  </si>
  <si>
    <t>10.</t>
  </si>
  <si>
    <t>Total do item 10</t>
  </si>
  <si>
    <t>12.</t>
  </si>
  <si>
    <t>Total do item 12</t>
  </si>
  <si>
    <t>13.</t>
  </si>
  <si>
    <t>13.1</t>
  </si>
  <si>
    <t>13.2</t>
  </si>
  <si>
    <t>13.3</t>
  </si>
  <si>
    <t>13.4</t>
  </si>
  <si>
    <t>13.5</t>
  </si>
  <si>
    <t>13.6</t>
  </si>
  <si>
    <t>13.7</t>
  </si>
  <si>
    <t>13.8</t>
  </si>
  <si>
    <t>Total do item 13</t>
  </si>
  <si>
    <t>15.</t>
  </si>
  <si>
    <t>15.1</t>
  </si>
  <si>
    <t>15.2</t>
  </si>
  <si>
    <t>15.3</t>
  </si>
  <si>
    <t>Total do item 15</t>
  </si>
  <si>
    <t>16.1</t>
  </si>
  <si>
    <t>16.</t>
  </si>
  <si>
    <t>16.2</t>
  </si>
  <si>
    <t>16.3</t>
  </si>
  <si>
    <t>Total do item 16</t>
  </si>
  <si>
    <t>74209/001</t>
  </si>
  <si>
    <t>Limpeza  mecanizada de terreno</t>
  </si>
  <si>
    <t>Placa de obra em chapa de aço galvanizado</t>
  </si>
  <si>
    <t>73752/001</t>
  </si>
  <si>
    <t>Sanitário com 4m², dois módulos de vaso e chuveiro, paredes em tábuas de pinho, coberta em telha de amianto 6mm, incluso insatalações, aparelhos, esquadrias e ferragens.</t>
  </si>
  <si>
    <t>unid</t>
  </si>
  <si>
    <t>73803/001</t>
  </si>
  <si>
    <t>Galpão aberto provisório em madeira, cobertura em telha de fibrocimento 6mm, incluso preparo do terreno</t>
  </si>
  <si>
    <t>Barracão para depósito em tábuas de madeira, cobertura em fibrocimento 4mm, incluso piso argamassa traço 1:6 (cimento e areia)</t>
  </si>
  <si>
    <t>74210/001</t>
  </si>
  <si>
    <t>1.8</t>
  </si>
  <si>
    <t>Instal/ligação provisória elétrica baixa tensão p/cant obra obra, m3-chave 100A carga 3Kwh, 20cv excl forn medidor</t>
  </si>
  <si>
    <t>73960/001</t>
  </si>
  <si>
    <t>OBRA: CENTRO DE TREINAMENTO CÃO-GUIA - ADMINISTRAÇÃO</t>
  </si>
  <si>
    <t>73992/001</t>
  </si>
  <si>
    <t>Locação convencional de obra, através de gabarito de tábuas corridas pontaletadas a cada 1,50m, sem reaproveitamento</t>
  </si>
  <si>
    <t>74151/001</t>
  </si>
  <si>
    <t>Escavação e carga material 1ª categoria, utilizando trator esteira</t>
  </si>
  <si>
    <t>FECHAMENTOS</t>
  </si>
  <si>
    <t>73935/005</t>
  </si>
  <si>
    <t>Alvenaria em tijolo cerâmico furado 10x15x20cm, 1/2 vez, assentado em argamassa traço 1:4 (cimento e areia)</t>
  </si>
  <si>
    <t>73935/002</t>
  </si>
  <si>
    <t>Alvenaria em tijolo cerâmico furado 10x20x20cm, 1 vez, assentado em argamasso traço 1:5 (cimento e areia)</t>
  </si>
  <si>
    <t>74099/001</t>
  </si>
  <si>
    <t>Verga, contraverga ou cinta em concreto armado FCK=20MPA, prep. Mecanico, forma canaleta (15x20x20), aço CA 60 5.0 (taxa de ferragen = 45,13 Kg/m³)</t>
  </si>
  <si>
    <t>73774/001</t>
  </si>
  <si>
    <t>Divisória em marmorite espessura 35mm, chumbamento no piso e parede com argamassa de cimento e areia, polimento natural, exclusive ferragens</t>
  </si>
  <si>
    <t>74046/002</t>
  </si>
  <si>
    <t>Targeta tipo livre/ocupado para porta de banheiro</t>
  </si>
  <si>
    <t>73867/001</t>
  </si>
  <si>
    <t>Estrutura tipo espacial em alumínio anodizado, vão de 20m</t>
  </si>
  <si>
    <t>73910/006</t>
  </si>
  <si>
    <t>P1 - Porta de madeira compensada lisa para cera/verniz, 0,80x2,10m, incluso aduela 1ª, alizar 1ª e dobradiça com anel</t>
  </si>
  <si>
    <t>73838/001</t>
  </si>
  <si>
    <t>P4 - Porta de vidro temperado, 1,60x2,10m, espessura 10mm, inclusive acessórios</t>
  </si>
  <si>
    <t>73910/007</t>
  </si>
  <si>
    <t>P9 - Porta de madeira compensada lisa para cera/verniz com visor, 1,00x2,10m, incluso aduela 1ª, alizar 1ª e dobradiça com anel</t>
  </si>
  <si>
    <t>74067/001</t>
  </si>
  <si>
    <t>J8 - Janela alumínio de correr, folhas para vidro, sem bandeira, linha 25, em L, 2,80x1,20m</t>
  </si>
  <si>
    <t>74067/002</t>
  </si>
  <si>
    <t>J12 - Janela alumínio de correr, 2 folhas para vidro, com bandeira, linha 25, 1,50x2,00m</t>
  </si>
  <si>
    <t>73931/001</t>
  </si>
  <si>
    <t>Estrutura para talha ondulada fibrocimento em madeira aparelhada, apoiada em laje ou parede</t>
  </si>
  <si>
    <t>74088/001</t>
  </si>
  <si>
    <t>Telhamento com telha de fibrocimento ondulada, espessura 6mm, incluso juntas de vedação e acessórios de fixação</t>
  </si>
  <si>
    <t>Rufo em chapa de aço galvanizado nº24, desenvolvimento 16cm</t>
  </si>
  <si>
    <t>Calha em chapa de aço galvanizado nº24, desenvolvimento 33cm</t>
  </si>
  <si>
    <t>Chapisco em paredes traço 1:4 (cimento e areia), espessura 0,5cm, preparo mecânico</t>
  </si>
  <si>
    <t>Chapisco em tetos traço 1:3 (cimento e areia), espessura 0,5cm, preparo mecânico</t>
  </si>
  <si>
    <t>Emboço paulista (massa única) em tetos traço 1:2:11 (cimento, cal e areia), espessura 1,5cm, preparo mecânico.</t>
  </si>
  <si>
    <t>Emboço paulista (massa única) traço 1:2:11 (cimento, cal e areia), espessura 2,0cm, preparo mecânico</t>
  </si>
  <si>
    <t>73925/002</t>
  </si>
  <si>
    <t xml:space="preserve">Azulejo 1ª 15x15cm fixado argamassa colante, rejuntamento com cimento branco - com 10% </t>
  </si>
  <si>
    <t>74108/001</t>
  </si>
  <si>
    <t xml:space="preserve">Piso cerâmico 1ª PEI-4 30x30cm, assentado com argamassa traço 1:4 (cimento e areia) preparo manual, com rejunte em cimento comum - com 10% </t>
  </si>
  <si>
    <t>74087/001</t>
  </si>
  <si>
    <t>Peitoril em ardósia - com 10%</t>
  </si>
  <si>
    <t>74159/001</t>
  </si>
  <si>
    <t>Soleira em ardósia assentada com argamassa de cimento e areia - com 10%</t>
  </si>
  <si>
    <t>73985/001</t>
  </si>
  <si>
    <t>Rodapé em cerâmica esmaltada linha popular PEI-4, assentada com argamassa fabricada no local, com rejuntamento em cimento branco - com 10%</t>
  </si>
  <si>
    <t>Vidro aramado, espessura 7mm</t>
  </si>
  <si>
    <t>Vidro temperado incolor, espessura 10mm</t>
  </si>
  <si>
    <t>P9 - Vidro liso comum transparente, espessura 3mm</t>
  </si>
  <si>
    <t>14.4</t>
  </si>
  <si>
    <t>J1 - Vidro liso comum transparente, espessura 3mm</t>
  </si>
  <si>
    <t>14.5</t>
  </si>
  <si>
    <t>J3 - Vidro liso comum transparente, espessura 3mm</t>
  </si>
  <si>
    <t>14.6</t>
  </si>
  <si>
    <t>J9 - Vidro liso comum transparente, espessura 3mm</t>
  </si>
  <si>
    <t>14.7</t>
  </si>
  <si>
    <t>J12 - Vidro liso comum transparente, espessura 3mm</t>
  </si>
  <si>
    <t>73751/001</t>
  </si>
  <si>
    <t>Fundo selador PVA ambientes internos, uma demão</t>
  </si>
  <si>
    <t>73954/001</t>
  </si>
  <si>
    <t>Pintura latex acrílica ambientes internos/externos, três demãos</t>
  </si>
  <si>
    <t>Pintura em verniz sintético brilhante em madeira, três demãos</t>
  </si>
  <si>
    <t>Limpeza final da obra</t>
  </si>
  <si>
    <t>OBRA: CENTRO DE TREINAMENTO CÃO-GUIA - CONVIVÊNCIA</t>
  </si>
  <si>
    <t>Cobogo cerâmico (elemento vazado), 9x20x20cm, assentado com argamassa traço 1:4 de cimento e areia</t>
  </si>
  <si>
    <t>73910/004</t>
  </si>
  <si>
    <t>P6 - Porta de madeira compensada lisa para cera/verniz, 0,70x2,10m, incluso aduela 1ª, alizar 1ª e dobradiça com anel</t>
  </si>
  <si>
    <t>73880/002</t>
  </si>
  <si>
    <t>P14 - Porta de madeira almofadada semi-oca 1ª 0,80 A 2,10 incluso aduela, alizar, dobradiça e fechadura externa padrão popular</t>
  </si>
  <si>
    <t>P20 - Porta de vidro temperado, 0,80x2,10m, espessura 10mm, inclusive acessórios</t>
  </si>
  <si>
    <t>73809/001</t>
  </si>
  <si>
    <t>J5 - Janela de alumínio tipo maxim-air, série 25 0,50x1,60m</t>
  </si>
  <si>
    <t>J6 - Janela alumínio de correr, 2 folhas para vidro, com bandeira, linha 25, 1,50x1,30m</t>
  </si>
  <si>
    <t>J10 - Janela alumínio de correr, 2 folhas para vidro, com bandeira, linha 25, 1,60x1,30m</t>
  </si>
  <si>
    <t>6.13</t>
  </si>
  <si>
    <t>74067/004</t>
  </si>
  <si>
    <t>J11 - Janela alumínio de correr, 2 folhas para vidro, com bandeira, linha 25, 1,50x1,30m</t>
  </si>
  <si>
    <t>P13 - Vidro liso comum transparente, espessura 3mm</t>
  </si>
  <si>
    <t>P19 - Vidro liso comum transparente, espessura 3mm</t>
  </si>
  <si>
    <t>J5 - Vidro liso comum transparente, espessura 3mm</t>
  </si>
  <si>
    <t>J6 - Vidro liso comum transparente, espessura 3mm</t>
  </si>
  <si>
    <t>14.8</t>
  </si>
  <si>
    <t>J10 - Vidro liso comum transparente, espessura 3mm</t>
  </si>
  <si>
    <t>14.9</t>
  </si>
  <si>
    <t>J11 - Vidro liso comum transparente, espessura 3mm</t>
  </si>
  <si>
    <t>OBRA: CENTRO DE TREINAMENTO CÃO-GUIA - CANIL</t>
  </si>
  <si>
    <t>73737/003</t>
  </si>
  <si>
    <t>74071/001</t>
  </si>
  <si>
    <t>P15 - Porta de abrir em alumínio tipo chapa corrugada, perfil série 25, com guarnições 0,80x1,70m</t>
  </si>
  <si>
    <t>74071/002</t>
  </si>
  <si>
    <t>P16 - Porta de correr em alumínio tipo chapa, perfil série 25, com gurnições e visor 0,80x2,10m</t>
  </si>
  <si>
    <t>J2 - Janela alumínio de correr, folhas para vidro, sem bandeira, linha 25, 1,50x1,20m</t>
  </si>
  <si>
    <t>73921/002</t>
  </si>
  <si>
    <t xml:space="preserve">Piso em pedra ardósia, 40x40cm, espessura 1cm, assentada com argamassa colante, com rejunte em cimento comum - com 10% </t>
  </si>
  <si>
    <t>J2 - Vidro liso comum transparente, espessura 3mm</t>
  </si>
  <si>
    <t>OBRA: CENTRO DE TREINAMENTO CÃO-GUIA - CLÍNICA</t>
  </si>
  <si>
    <t>P24 - Porta de madeira compensada lisa para cera/verniz com visor, 1,40x2,10m, incluso aduela 1ª, alizar 1ª e dobradiça com anel</t>
  </si>
  <si>
    <t>J7 - Janela alumínio fixa para vidro, sem bandeira, linha 25, 2,50x0,90m</t>
  </si>
  <si>
    <t>J9 - Janela alumínio fixa para vidro, sem bandeira, linha 25, 1,20x0,90m</t>
  </si>
  <si>
    <t>P24 - Vidro liso comum transparente, espessura 3mm</t>
  </si>
  <si>
    <t>J7 - Vidro liso comum transparente, espessura 3mm</t>
  </si>
  <si>
    <t>J8 - Vidro liso comum transparente, espessura 3mm</t>
  </si>
  <si>
    <t>Pintura epoxi</t>
  </si>
  <si>
    <t>OBRA: CENTRO DE TREINAMENTO CÃO-GUIA - POSTO DE OBSERVAÇÃO</t>
  </si>
  <si>
    <t>OBRA: CENTRO DE TREINAMENTO CÃO-GUIA - MATERNIDADE</t>
  </si>
  <si>
    <t>OBRA: CENTRO DE TREINAMENTO CÃO-GUIA - ISOLAMENTO</t>
  </si>
  <si>
    <t>Sapatas em concreto armado incluído forma e desforma  FCK 20 MPa</t>
  </si>
  <si>
    <t>Vigas Baldrame em conc. armado inc. forma e desf. FCK 20 MPa</t>
  </si>
  <si>
    <t>3.3</t>
  </si>
  <si>
    <t>3.4</t>
  </si>
  <si>
    <t>Impermeabilização do baldrame (Emulsão asfaltica)</t>
  </si>
  <si>
    <t>3.5</t>
  </si>
  <si>
    <t xml:space="preserve">Contrapiso em concreto armado impermeabilizado </t>
  </si>
  <si>
    <t>Joelho 90° serie normal 25mm(água fria)</t>
  </si>
  <si>
    <t>Joelho 90° serie normal 50mm(água fria)</t>
  </si>
  <si>
    <t>Joelho 90° serie L.R 25mm(água fria)</t>
  </si>
  <si>
    <t>Tê série nomal 50mm(água fria)</t>
  </si>
  <si>
    <t>Redução excêntrica série normal  75 x50 mm(água fria)</t>
  </si>
  <si>
    <t>Redução excêntrica série normal 50 x 25 mm(água fria)</t>
  </si>
  <si>
    <t>Valvula descarga  1.1/2" Com registro acabamento em metal cromado</t>
  </si>
  <si>
    <t>Valvula descarga  mictório Com registro acabamento em metal cromado</t>
  </si>
  <si>
    <t>Bacia sanitária cor branca</t>
  </si>
  <si>
    <t>Bacia sanitária cor branca P.N.E</t>
  </si>
  <si>
    <t xml:space="preserve">Micitório cor branca </t>
  </si>
  <si>
    <t>Lavatório/ cuba de embutir louça cor 35 X 50cm ou equivalente P.N.E.</t>
  </si>
  <si>
    <t>Caixa de agua 1000Litros</t>
  </si>
  <si>
    <t>Caixa de inspenção em alvenaria de tijolo maciço 60X60X60CM,</t>
  </si>
  <si>
    <t>Extintor de pó químico  4 Kg com suporte para fixação na parede, instalado</t>
  </si>
  <si>
    <t>Placa de saída autônoma 1 face luminosa, instalada</t>
  </si>
  <si>
    <t>Sistema de Iluminação de Emergência autônoma, com bateria, 2 faróis 55w, instalada</t>
  </si>
  <si>
    <t xml:space="preserve">Tubo cobre flexível rolo 1/2" </t>
  </si>
  <si>
    <t>Válvula de esfera em bronze Ø 1/2", instalado</t>
  </si>
  <si>
    <t>Regulador baixa pressão 2kg/h (2° estágio)</t>
  </si>
  <si>
    <t>Sistema de Iluminação de Emergência , Bloco autônomo PL 9W, instalada</t>
  </si>
  <si>
    <t>Condutor 6mm², isolação 750v</t>
  </si>
  <si>
    <t>Condutor 25mm², isolação 1Kv</t>
  </si>
  <si>
    <t>Interrupitor simples 3 tecla</t>
  </si>
  <si>
    <t>Luminarias fluorescentes 2X40w C/ reator e lampada</t>
  </si>
  <si>
    <t>Chuveiro eletrico 4500w</t>
  </si>
  <si>
    <t>Dijntor termonagnético unipolar curva c padrão Dim  de 25 A</t>
  </si>
  <si>
    <t>Dijntor termonagnético tripolar curva c padrão Dim  de 80 A</t>
  </si>
  <si>
    <t>Joelho 45° serie normal 100mm</t>
  </si>
  <si>
    <t>Joelho 90° serie normal 50mm</t>
  </si>
  <si>
    <t>Joelho 90° serie normal 75mm(água fria)</t>
  </si>
  <si>
    <t>Tê série nomal 60mm(água fria)</t>
  </si>
  <si>
    <t>Registro de presão 25mm c/ canopla</t>
  </si>
  <si>
    <t>Registro de gaveta 25mm c/canopla</t>
  </si>
  <si>
    <t>Registro de gaveta 75mm c/ canopla</t>
  </si>
  <si>
    <t>Caixa de agua 4000Litros</t>
  </si>
  <si>
    <t xml:space="preserve">Caixa de gordura dupla em concreto pre moldado dn 60mm c/ tampa </t>
  </si>
  <si>
    <t>Placa de saída autônoma 2 face seta luminosa, instalada</t>
  </si>
  <si>
    <t>Eletroduto 20mm  3/4" PVC rígido c/ conexões</t>
  </si>
  <si>
    <t>Dijntor termonagnético tripolar curva c padrão Dim  de 32 A</t>
  </si>
  <si>
    <t>Fio p/ instalação eletronica (som) polarizado bicolor 2x075mm²</t>
  </si>
  <si>
    <t>Arandela de som abiente de sobrepor</t>
  </si>
  <si>
    <t>Pia aço inoxidavel 120X60CM C/ 1 cuba  - Fornecimento e instalação</t>
  </si>
  <si>
    <t>Luminaria vapor de sódio 150w</t>
  </si>
  <si>
    <t>Quadro de distribuição C/ Barramento trifasico 6 dij. Dim</t>
  </si>
  <si>
    <t>Quadro de distribuição C/ Barramento trifasico 4 dij. Dim</t>
  </si>
  <si>
    <t>Tubo PVC Ø 100 mm² série normal</t>
  </si>
  <si>
    <t>Tubo PVC Ø 75 mm² série normal</t>
  </si>
  <si>
    <t>Tubo PVC Ø 50 mm² série normal</t>
  </si>
  <si>
    <t>Tubo PVC Ø 25 mm² série normal(água fria)</t>
  </si>
  <si>
    <t xml:space="preserve">Tubo PVC Ø 50 mm² série normal(água fria) </t>
  </si>
  <si>
    <t>Escavação manual de cavas</t>
  </si>
  <si>
    <t>Impermeabilização semi-flexivel com tinta asfáltica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</si>
  <si>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</si>
  <si>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</si>
  <si>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</si>
  <si>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</si>
  <si>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</si>
  <si>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</si>
  <si>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</si>
  <si>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</si>
  <si>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</si>
  <si>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9.1</t>
  </si>
  <si>
    <t>9.2</t>
  </si>
  <si>
    <t>9.3</t>
  </si>
  <si>
    <t>9.4</t>
  </si>
  <si>
    <t>9.5</t>
  </si>
  <si>
    <t>9.6</t>
  </si>
  <si>
    <t>9.7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</si>
  <si>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</si>
  <si>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</si>
  <si>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</si>
  <si>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</si>
  <si>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</si>
  <si>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</si>
  <si>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</si>
  <si>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</si>
  <si>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</si>
  <si>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</si>
  <si>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</si>
  <si>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</si>
  <si>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</si>
  <si>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</si>
  <si>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</si>
  <si>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</si>
  <si>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</si>
  <si>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</si>
  <si>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</si>
  <si>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</si>
  <si>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</si>
  <si>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12.1</t>
  </si>
  <si>
    <t>12.2</t>
  </si>
  <si>
    <t>13.9</t>
  </si>
  <si>
    <t>13.10</t>
  </si>
  <si>
    <t>12.3</t>
  </si>
  <si>
    <t>10.22</t>
  </si>
  <si>
    <t>8.10</t>
  </si>
  <si>
    <t>8.11</t>
  </si>
  <si>
    <t>13.11</t>
  </si>
  <si>
    <t>8.12</t>
  </si>
  <si>
    <t>8.13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</si>
  <si>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</si>
  <si>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</si>
  <si>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</si>
  <si>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</si>
  <si>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</si>
  <si>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</si>
  <si>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</si>
  <si>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</si>
  <si>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</si>
  <si>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8.14</t>
  </si>
  <si>
    <t>8.15</t>
  </si>
  <si>
    <t>8.16</t>
  </si>
  <si>
    <t>8.17</t>
  </si>
  <si>
    <t>8.18</t>
  </si>
  <si>
    <t>8.19</t>
  </si>
  <si>
    <t>8.20</t>
  </si>
  <si>
    <t>6.14</t>
  </si>
  <si>
    <t>12.4</t>
  </si>
  <si>
    <t>12.5</t>
  </si>
  <si>
    <t>12.6</t>
  </si>
  <si>
    <t>12.7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</si>
  <si>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</si>
  <si>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</si>
  <si>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</si>
  <si>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</si>
  <si>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</si>
  <si>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</si>
  <si>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</si>
  <si>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</si>
  <si>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</si>
  <si>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1.9</t>
  </si>
  <si>
    <t>1.10</t>
  </si>
  <si>
    <t>1.11</t>
  </si>
  <si>
    <t>1.12</t>
  </si>
  <si>
    <t>1.13</t>
  </si>
  <si>
    <t>1.14</t>
  </si>
  <si>
    <t>1.15</t>
  </si>
  <si>
    <t>Administração</t>
  </si>
  <si>
    <t>Convivência</t>
  </si>
  <si>
    <t>Canil</t>
  </si>
  <si>
    <t>Posto de observação</t>
  </si>
  <si>
    <t>Clínica veterinária</t>
  </si>
  <si>
    <t>Maternidade</t>
  </si>
  <si>
    <t>Descarte</t>
  </si>
  <si>
    <t>Isolamento</t>
  </si>
  <si>
    <t>1.16</t>
  </si>
  <si>
    <t>Regularização e Espalhamento Mecanizado de material de 1ª categoria</t>
  </si>
  <si>
    <t>Colchão de areia, inclusive mão de obra de espalhamento, transporte e fornecimento de material</t>
  </si>
  <si>
    <t xml:space="preserve">Pavimentação em blocos de concreto sextavado espessura 8 cm, assentado sobre colchão de pó de pedra rejunte com argamassa traco 1:4 (cimento e areia) </t>
  </si>
  <si>
    <t>73892/002</t>
  </si>
  <si>
    <t>Execução de calçada em concreto 1:3:5 (FCK=12MPA) Preparo Mecânico e=7cm</t>
  </si>
  <si>
    <t>2.3</t>
  </si>
  <si>
    <t>2.4</t>
  </si>
  <si>
    <t>2.5</t>
  </si>
  <si>
    <t>2.6</t>
  </si>
  <si>
    <t>2.7</t>
  </si>
  <si>
    <t>2.8</t>
  </si>
  <si>
    <t>2.9</t>
  </si>
  <si>
    <t>2.10</t>
  </si>
  <si>
    <t>3.6</t>
  </si>
  <si>
    <t>3.7</t>
  </si>
  <si>
    <t>3.8</t>
  </si>
  <si>
    <t>3.9</t>
  </si>
  <si>
    <t>4.6</t>
  </si>
  <si>
    <t>4.7</t>
  </si>
  <si>
    <t>4.8</t>
  </si>
  <si>
    <t>5.5</t>
  </si>
  <si>
    <t>5.6</t>
  </si>
  <si>
    <t>5.7</t>
  </si>
  <si>
    <t>5.8</t>
  </si>
  <si>
    <t>5.9</t>
  </si>
  <si>
    <t>5.10</t>
  </si>
  <si>
    <t>7.5</t>
  </si>
  <si>
    <t>7.6</t>
  </si>
  <si>
    <t>7.7</t>
  </si>
  <si>
    <t>7.8</t>
  </si>
  <si>
    <t>9.8</t>
  </si>
  <si>
    <t>11.3</t>
  </si>
  <si>
    <t>11.4</t>
  </si>
  <si>
    <t>11.5</t>
  </si>
  <si>
    <t>11.6</t>
  </si>
  <si>
    <t>11.7</t>
  </si>
  <si>
    <t>11.8</t>
  </si>
  <si>
    <t>12.8</t>
  </si>
  <si>
    <t>13.12</t>
  </si>
  <si>
    <t>15.4</t>
  </si>
  <si>
    <t>15.5</t>
  </si>
  <si>
    <t>15.6</t>
  </si>
  <si>
    <t>15.7</t>
  </si>
  <si>
    <t>15.8</t>
  </si>
  <si>
    <t>15.9</t>
  </si>
  <si>
    <t>15.10</t>
  </si>
  <si>
    <t>16.4</t>
  </si>
  <si>
    <t>17.4</t>
  </si>
  <si>
    <t>17.5</t>
  </si>
  <si>
    <t>17.6</t>
  </si>
  <si>
    <t>17.7</t>
  </si>
  <si>
    <t>17.8</t>
  </si>
  <si>
    <t>17.9</t>
  </si>
  <si>
    <t>17.10</t>
  </si>
  <si>
    <t>17.11</t>
  </si>
  <si>
    <t>Escavação mecânica de val em material de 2ª categoria até 2m de profundidade com utilização de escavadeira hidráulico</t>
  </si>
  <si>
    <t>74153/001</t>
  </si>
  <si>
    <t>Espalhamento mecanizado material 1ª categoria</t>
  </si>
  <si>
    <t xml:space="preserve">P2 - Porta de abrir em alumínio tipo chapa corrugada, perfil série 25, com guranições 0,80x2,00m </t>
  </si>
  <si>
    <t xml:space="preserve">P3 - Porta de abrir em alumínio tipo chapa corrugada, perfil série 25, com guranições 0,70x2,00m </t>
  </si>
  <si>
    <t>P 21 - Porta de abrir em alumínio tipo veneziana, perfil série 25, com guarnições 0,60x0,95</t>
  </si>
  <si>
    <t>J1 - Janela de alumínio tipo maxim-air, série 25, 3,50x0,60m</t>
  </si>
  <si>
    <t>73809/002</t>
  </si>
  <si>
    <t>J3 - Janela de alumínio tipo maxim-air, série 25, 1,50x0,60m</t>
  </si>
  <si>
    <t>J8 - Janela alumínio de correr, 4 folhas para vidro, sem bandeira, linha 25, em L, 2,80x1,20m</t>
  </si>
  <si>
    <t>73829/001</t>
  </si>
  <si>
    <t>Piso em cerâmica esmaltada 1ª PEI-V, Padrão médio, assentada com argamassa colante - com 10%</t>
  </si>
  <si>
    <t>13.13</t>
  </si>
  <si>
    <t>13.14</t>
  </si>
  <si>
    <t>13.15</t>
  </si>
  <si>
    <t>Forro de beiral em madeira tipo cedrinho, incluso testeira altura 15cm e meia-cana</t>
  </si>
  <si>
    <t>Carpete de nylon e=6mm colocado - com rodapé 8cm - com 10%</t>
  </si>
  <si>
    <t>73739/001</t>
  </si>
  <si>
    <t>Pintura esmalte acetinado em madeira, duas demãos</t>
  </si>
  <si>
    <r>
      <rPr>
        <b/>
        <sz val="9"/>
        <rFont val="Arial"/>
        <family val="2"/>
      </rPr>
      <t>LDI</t>
    </r>
    <r>
      <rPr>
        <sz val="9"/>
        <rFont val="Arial"/>
        <family val="2"/>
      </rPr>
      <t>:</t>
    </r>
  </si>
  <si>
    <t>Alvenaria em tijolo cerâmico maciço 5x10x20cm 1/2 vez (espessura 10cm), assentado com argamassa traço 1:2:8 (cimento, cal e areia)</t>
  </si>
  <si>
    <t>Ventilação permanente 20x10cm</t>
  </si>
  <si>
    <t>6.15</t>
  </si>
  <si>
    <t>J4 - Janela de alumínio tipo maxim-air, série 25, 0,50x0,60m</t>
  </si>
  <si>
    <t>Proteção de venezina de alumínio</t>
  </si>
  <si>
    <t>13.16</t>
  </si>
  <si>
    <t>74126/001</t>
  </si>
  <si>
    <t>Granito cinza polido para bancada e=2,5cm, largura 60cm - fornecimento e instalação</t>
  </si>
  <si>
    <t>Coroa em chapa de aço galvanizado nº24 com pingadeira</t>
  </si>
  <si>
    <t>6.16</t>
  </si>
  <si>
    <t>6.17</t>
  </si>
  <si>
    <t>6.18</t>
  </si>
  <si>
    <t>73737/002</t>
  </si>
  <si>
    <t>Gradil de alumínio anodizado tipo barra chata para varandas</t>
  </si>
  <si>
    <t>74072/002</t>
  </si>
  <si>
    <t>Corrimão em tubo aço galvanizado 2 1/2" com braçadeira</t>
  </si>
  <si>
    <t>73764/004</t>
  </si>
  <si>
    <t>Colchão de areia para pavimentação em blocos de concreto intertravado</t>
  </si>
  <si>
    <t>Pavimentação em blocos intertravados de concreto, espessura 6,5cm, FCK 35Mpa, assentados sobre colchão de areia - com 10%</t>
  </si>
  <si>
    <t>Execução de calçada em concreto 1:3:5 (FCK=12 Mpa) Preparo mecânico, e=7cm</t>
  </si>
  <si>
    <t>Tampa de abrir em alumínio tipo chapa corrugada, perfil série 25, com guarnições 0,80x0,80m</t>
  </si>
  <si>
    <t xml:space="preserve">Estrutura em madeira apoiada em laje para caixa d'água </t>
  </si>
  <si>
    <t>Porta de 2 folhas de abrir em alumínio tipo veneziana, perfil série 25, com guarnições 1,00x1,60cm</t>
  </si>
  <si>
    <t>74073/002</t>
  </si>
  <si>
    <t>Alçapão em ferro 0,7x0,7m, incluso ferragens</t>
  </si>
  <si>
    <t>P15 - Porta de abrir em alumínio tipo chapa corrugada, perfil série 25, com guarnições 0,80x1,40m</t>
  </si>
  <si>
    <t>P25 - Porta de abrir em alumínio tipo chapa corrugada, perfil série 25, com guarnições 0,80x1,20m</t>
  </si>
  <si>
    <t>Piso vinílico semiflexível padrão liso, espessura 2mm, fixado com cola - com 10%</t>
  </si>
  <si>
    <t>P16 - Vidro liso comum transparente, espessura 3mm</t>
  </si>
  <si>
    <t xml:space="preserve">Estrutura em madeira apoiada em parede para caixa d'água </t>
  </si>
  <si>
    <t>Forro PVC em placas com largura de 10cm, espessura 8mm, comp de 6,0m, liso.</t>
  </si>
  <si>
    <t>74194/001</t>
  </si>
  <si>
    <t>Escada tipo marinheiro em tubo aço galvanizado 1 1/2" 5 degraus</t>
  </si>
  <si>
    <t>Divisória móvel 35mm painél cego miolo vermiculita revestida c/chapa laminada em cores de madeira prensada c/montantes.</t>
  </si>
  <si>
    <t>OBRA: CENTRO DE TREINAMENTO CÃO-GUIA - TREINAMENTO</t>
  </si>
  <si>
    <t>Estrutura de madeira de lai 1ª serrada não aparelhada, para talhas onduladas, vão até 7m</t>
  </si>
  <si>
    <t>OBRA: CENTRO DE TREINAMENTO CÃO-GUIA - ESTACIONAMENTO</t>
  </si>
  <si>
    <t>1.17</t>
  </si>
  <si>
    <t>1.18</t>
  </si>
  <si>
    <t>Treinamento</t>
  </si>
  <si>
    <t>Estacionamento</t>
  </si>
  <si>
    <t>2.11</t>
  </si>
  <si>
    <t>2.12</t>
  </si>
  <si>
    <t>3.10</t>
  </si>
  <si>
    <t>3.11</t>
  </si>
  <si>
    <t>4.9</t>
  </si>
  <si>
    <t>4.10</t>
  </si>
  <si>
    <t>7.9</t>
  </si>
  <si>
    <t>7.10</t>
  </si>
  <si>
    <t>9.9</t>
  </si>
  <si>
    <t>9.10</t>
  </si>
  <si>
    <t>11.9</t>
  </si>
  <si>
    <t>11.10</t>
  </si>
  <si>
    <t>12.9</t>
  </si>
  <si>
    <t>12.10</t>
  </si>
  <si>
    <t>14.10</t>
  </si>
  <si>
    <t>17.12</t>
  </si>
  <si>
    <t>17.13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</si>
  <si>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</si>
  <si>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</si>
  <si>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</si>
  <si>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</si>
  <si>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</si>
  <si>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</si>
  <si>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</si>
  <si>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</si>
  <si>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</si>
  <si>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</si>
  <si>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</si>
  <si>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</si>
  <si>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74223/002</t>
  </si>
  <si>
    <t>Meio-fio em pedra granilítica, rejuntado c/argamassa cimento e areia 1:3</t>
  </si>
  <si>
    <t>16.17</t>
  </si>
  <si>
    <t>16.18</t>
  </si>
  <si>
    <t>73823/001</t>
  </si>
  <si>
    <t>73823/002</t>
  </si>
  <si>
    <t>73764/002</t>
  </si>
  <si>
    <t>OBRA: CENTRO DE TREINAMENTO CÃO-GUIA - CONJUNTO</t>
  </si>
  <si>
    <t>Joelho45° serie normal 50mm</t>
  </si>
  <si>
    <t>Redução excêntrica série normal  40 x32 mm(água fria)</t>
  </si>
  <si>
    <t>Tubo PVC Ø 40 mm² série normal</t>
  </si>
  <si>
    <t>Tubo PVC Ø32 mm² série normal(água fria)</t>
  </si>
  <si>
    <t xml:space="preserve">Tubo PVC Ø 40 mm² série normal(água fria) </t>
  </si>
  <si>
    <t>Barra de apoio reta 80cm conforme NBR9050</t>
  </si>
  <si>
    <t>Barra de apoio para lavatório conforme NBR9050</t>
  </si>
  <si>
    <t>Barra de apoio reta 70cm conforme NBR9051</t>
  </si>
  <si>
    <t>Barra de apoio reta 60cm conforme NBR9052</t>
  </si>
  <si>
    <t>Banco articulado conforme NBR9050</t>
  </si>
  <si>
    <t>Caixa de agua 1000Litros (agua da chuva)</t>
  </si>
  <si>
    <t>8.21</t>
  </si>
  <si>
    <t>8.22</t>
  </si>
  <si>
    <t>8.23</t>
  </si>
  <si>
    <t>Dijntor termonagnético unipolar curva c padrão Dim  de 10 A</t>
  </si>
  <si>
    <t>Quadro de distribuição C/ Barramento trifasico 16 dij. Dim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</si>
  <si>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</si>
  <si>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</si>
  <si>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</si>
  <si>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</si>
  <si>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</si>
  <si>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</si>
  <si>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</si>
  <si>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</si>
  <si>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</si>
  <si>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Joelho 90° aquatherm  28mm</t>
  </si>
  <si>
    <t>Joelho 90° aquatherm  35mm</t>
  </si>
  <si>
    <t>Tê aquaterme 28mm</t>
  </si>
  <si>
    <t>Tê aquaterme 35mm</t>
  </si>
  <si>
    <t>Tê de redução aquaterme 35mm x 28mm</t>
  </si>
  <si>
    <t>torneira p/ lav. cromada c/ sistema misturador</t>
  </si>
  <si>
    <t>Tubo PVC Ø 75mm² série normal(água fria)</t>
  </si>
  <si>
    <t>Tubo PVC Ø 28 mm² Aquatherm</t>
  </si>
  <si>
    <t>Tubo PVC Ø35 mm² Aquatherm</t>
  </si>
  <si>
    <t>Quadro de distribuição C/ Barramento trifasico 12 dij. Dim</t>
  </si>
  <si>
    <t>Papeleiro para papel higiênico em ABS</t>
  </si>
  <si>
    <t>Saboneteiro para sabonete liquido em ABS</t>
  </si>
  <si>
    <t>Toalheiro para papel toalha em ABS</t>
  </si>
  <si>
    <t>10.50</t>
  </si>
  <si>
    <t>10.51</t>
  </si>
  <si>
    <t>10.52</t>
  </si>
  <si>
    <t>10.53</t>
  </si>
  <si>
    <t>10.54</t>
  </si>
  <si>
    <t>10.55</t>
  </si>
  <si>
    <t>10.56</t>
  </si>
  <si>
    <t>Porta toalha em metal cromado, tipo haste ou barra</t>
  </si>
  <si>
    <t>Assento com tampa para vaso sanitário na cor branca, instalado</t>
  </si>
  <si>
    <t>Porta toalha tipo gancho de metal cromado.</t>
  </si>
  <si>
    <t>Papeleira Cromada</t>
  </si>
  <si>
    <t>Porta toalha eem metal cromado, tipo argola</t>
  </si>
  <si>
    <t>10.57</t>
  </si>
  <si>
    <t>Conjunto aquecedor solar com reservatório p/água quente com isolamento térmico de 500L e quatro painéis coletores de 1,5m²</t>
  </si>
  <si>
    <t>Conjunto aquecedor solar com reservatório p/água quente com isolamento térmico de 400L e três painéis coletores de 1,5m²</t>
  </si>
  <si>
    <t>Conjunto aquecedor solar com reservatório p/água quente com isolamento térmico de 200L e dois painéis coletores de 1m²</t>
  </si>
  <si>
    <t>CRONOGRAMA FÍSICO-FINANCEIRO</t>
  </si>
  <si>
    <t>PERÍODO</t>
  </si>
  <si>
    <t>0 - 30 DIAS</t>
  </si>
  <si>
    <t>30 - 60 DIAS</t>
  </si>
  <si>
    <t>60 - 90 DIAS</t>
  </si>
  <si>
    <t>90 - 120 DIAS</t>
  </si>
  <si>
    <t>120 - 150 DIAS</t>
  </si>
  <si>
    <t>Obra: CENTRO DE TREINAMENTO CÃO-GUIA</t>
  </si>
  <si>
    <t>MOVIMENTAÇÃO DE TERRA</t>
  </si>
  <si>
    <t>INTALAÇÕES DE LÓGICA E DE TELEFONE</t>
  </si>
  <si>
    <t>Tomada trifasica 2P + t  - 20A</t>
  </si>
  <si>
    <t>Dijntor termonagnético tripolar curva c padrão Dim  de 10 A</t>
  </si>
  <si>
    <t>8.24</t>
  </si>
  <si>
    <t>8.25</t>
  </si>
  <si>
    <t>Portão em chapa de fero e tela, inclusive pintura e pilares de apoio, para veículos</t>
  </si>
  <si>
    <t>Portão em chapa de fero e tela, inclusive pintura e pilares de apoio, para pedestres</t>
  </si>
  <si>
    <t>Lambri de madeira laminada</t>
  </si>
  <si>
    <r>
      <rPr>
        <b/>
        <sz val="9"/>
        <color theme="1"/>
        <rFont val="Arial"/>
        <family val="2"/>
      </rPr>
      <t>Resp. Técnico</t>
    </r>
    <r>
      <rPr>
        <sz val="9"/>
        <color theme="1"/>
        <rFont val="Arial"/>
        <family val="2"/>
      </rPr>
      <t>:</t>
    </r>
  </si>
  <si>
    <r>
      <rPr>
        <b/>
        <sz val="9"/>
        <color rgb="FF000000"/>
        <rFont val="Arial"/>
        <family val="2"/>
      </rPr>
      <t>Resp. Técnico</t>
    </r>
    <r>
      <rPr>
        <sz val="9"/>
        <color rgb="FF000000"/>
        <rFont val="Arial"/>
        <family val="2"/>
      </rPr>
      <t>:</t>
    </r>
  </si>
  <si>
    <t>Resp. Técnico:</t>
  </si>
  <si>
    <t>LDI =</t>
  </si>
  <si>
    <r>
      <rPr>
        <b/>
        <sz val="9"/>
        <color theme="1"/>
        <rFont val="Arial"/>
        <family val="2"/>
      </rPr>
      <t>Área Construída</t>
    </r>
    <r>
      <rPr>
        <sz val="9"/>
        <color theme="1"/>
        <rFont val="Arial"/>
        <family val="2"/>
      </rPr>
      <t>:  2040,28m²</t>
    </r>
  </si>
  <si>
    <r>
      <rPr>
        <b/>
        <sz val="9"/>
        <color theme="1"/>
        <rFont val="Arial"/>
        <family val="2"/>
      </rPr>
      <t>Local</t>
    </r>
    <r>
      <rPr>
        <sz val="9"/>
        <color theme="1"/>
        <rFont val="Arial"/>
        <family val="2"/>
      </rPr>
      <t>:</t>
    </r>
  </si>
  <si>
    <t>S/ LDI</t>
  </si>
  <si>
    <t>TOTAL C/ LDI</t>
  </si>
  <si>
    <r>
      <rPr>
        <b/>
        <sz val="9"/>
        <color rgb="FF000000"/>
        <rFont val="Arial"/>
        <family val="2"/>
      </rPr>
      <t>Local</t>
    </r>
    <r>
      <rPr>
        <sz val="9"/>
        <color rgb="FF000000"/>
        <rFont val="Arial"/>
        <family val="2"/>
      </rPr>
      <t>:</t>
    </r>
  </si>
  <si>
    <r>
      <rPr>
        <b/>
        <sz val="9"/>
        <color rgb="FF000000"/>
        <rFont val="Arial"/>
        <family val="2"/>
      </rPr>
      <t>Área Construída</t>
    </r>
    <r>
      <rPr>
        <sz val="9"/>
        <color rgb="FF000000"/>
        <rFont val="Arial"/>
        <family val="2"/>
      </rPr>
      <t>:  370,04m² (2040,28m²)</t>
    </r>
  </si>
  <si>
    <t>Estrutura para telha ondulada fibrocimento em madeira aparelhada, apoiada em laje ou parede</t>
  </si>
  <si>
    <t>P19 - Porta de correr em alumínio, perfil série 25, com folhas para vidro 3,20x2,50m</t>
  </si>
  <si>
    <t>P13 - Porta de correr em alumínio, perfil série 25, com folhas para vidro 3,20x2,50m</t>
  </si>
  <si>
    <t>Cama de regularização de argamaça para calha</t>
  </si>
  <si>
    <t>Emassamento epoxi</t>
  </si>
  <si>
    <t>6.19</t>
  </si>
  <si>
    <t>6.20</t>
  </si>
  <si>
    <t>6.21</t>
  </si>
  <si>
    <t>73910/005</t>
  </si>
  <si>
    <t>P27 - Porta de madeira compensada lisa para pintura com visor, 0,80x2,10m, incluso aduela 1ª, alizar 1ª e dobradiça vai e vem</t>
  </si>
  <si>
    <t>74067/001 + Tela</t>
  </si>
  <si>
    <r>
      <t xml:space="preserve">J13 - </t>
    </r>
    <r>
      <rPr>
        <sz val="9"/>
        <rFont val="Arial"/>
        <family val="2"/>
      </rPr>
      <t xml:space="preserve">Janela alumínio de correr, folhas para vidro e tela mosqueteiro fixa, </t>
    </r>
    <r>
      <rPr>
        <sz val="9"/>
        <color rgb="FF000000"/>
        <rFont val="Arial"/>
        <family val="2"/>
      </rPr>
      <t>sem bandeira, linha 25, 1,20x0,90m</t>
    </r>
  </si>
  <si>
    <t>J14 - Janela de alumínio articulada (tipo camarão), série 25, com vedação, 0,60x0,90m</t>
  </si>
  <si>
    <t>14.11</t>
  </si>
  <si>
    <t>P27 - Vidro liso comum transparente, espessura 3mm</t>
  </si>
  <si>
    <t>J13 - Vidro liso comum trasnparente, espessura 3mm</t>
  </si>
  <si>
    <t>J14 - Vidro liso comum transparente, espessura 3mm</t>
  </si>
  <si>
    <t>J4 - Vidro tipo canelado, espessura 3mm</t>
  </si>
  <si>
    <t>J1 - Vidro tipo canelado, espessura 3mm</t>
  </si>
  <si>
    <t>P26 - Porta de correr em alumínio tipo chapa, perfil série 25, com gurnições e visor 0,80x1,60m</t>
  </si>
  <si>
    <r>
      <rPr>
        <b/>
        <sz val="9"/>
        <color theme="1"/>
        <rFont val="Arial"/>
        <family val="2"/>
      </rPr>
      <t>Área Construída</t>
    </r>
    <r>
      <rPr>
        <sz val="9"/>
        <color theme="1"/>
        <rFont val="Arial"/>
        <family val="2"/>
      </rPr>
      <t>:  607,61m² (2040,28m²)</t>
    </r>
  </si>
  <si>
    <r>
      <rPr>
        <b/>
        <sz val="9"/>
        <color theme="1"/>
        <rFont val="Arial"/>
        <family val="2"/>
      </rPr>
      <t>Área Construída</t>
    </r>
    <r>
      <rPr>
        <sz val="9"/>
        <color theme="1"/>
        <rFont val="Arial"/>
        <family val="2"/>
      </rPr>
      <t>:  550,19m² (2040,28m²)</t>
    </r>
  </si>
  <si>
    <r>
      <rPr>
        <b/>
        <sz val="9"/>
        <color theme="1"/>
        <rFont val="Arial"/>
        <family val="2"/>
      </rPr>
      <t>Área Construída</t>
    </r>
    <r>
      <rPr>
        <sz val="9"/>
        <color theme="1"/>
        <rFont val="Arial"/>
        <family val="2"/>
      </rPr>
      <t>:  168,36m² (2040,28m²)</t>
    </r>
  </si>
  <si>
    <t xml:space="preserve">Pedra ardósia em parede, 40x40cm, espessura 1cm, assentada com argamassa colante, com rejunte em cimento comum - com 10% </t>
  </si>
  <si>
    <t>Lajota pre-moldada em concreto, 45x45x2,5</t>
  </si>
  <si>
    <t>16.6.1</t>
  </si>
  <si>
    <t>16.6.2</t>
  </si>
  <si>
    <t>16.6.3</t>
  </si>
  <si>
    <t>16.6.4</t>
  </si>
  <si>
    <t>16.6.5</t>
  </si>
  <si>
    <t>16.6.6</t>
  </si>
  <si>
    <t>16.6.7</t>
  </si>
  <si>
    <t>16.6.8</t>
  </si>
  <si>
    <t>16.6.9</t>
  </si>
  <si>
    <t>16.6.10</t>
  </si>
  <si>
    <t>16.6.11</t>
  </si>
  <si>
    <t>Composição</t>
  </si>
  <si>
    <t>74164/004</t>
  </si>
  <si>
    <t>73964/004</t>
  </si>
  <si>
    <t>74233/001</t>
  </si>
  <si>
    <t>73954/002</t>
  </si>
  <si>
    <t>16.6.12</t>
  </si>
  <si>
    <t>Lastro de brita</t>
  </si>
  <si>
    <t>Forma plana p/fundações e baldrame em chapa resinada e=10mm</t>
  </si>
  <si>
    <t>Concreto armado, fck 18Mpa e 77kg/m³ de aço, incluindo lançamento</t>
  </si>
  <si>
    <t>Reaterro de valas/cavas, compactada e maço, em camadas de até 30cm</t>
  </si>
  <si>
    <t>Fundo selador acrílico, ambientes externos, uma demão</t>
  </si>
  <si>
    <t>Pintura latex acrílica ambientes externos, duas demãos</t>
  </si>
  <si>
    <t>Tela arame galv fio 12bwg malha 8x8cm quadrada</t>
  </si>
  <si>
    <t>Pedreiro</t>
  </si>
  <si>
    <t>Ajudante de pedreiro</t>
  </si>
  <si>
    <t>Servente</t>
  </si>
  <si>
    <t>Mourão de concreto pré-moldado 10X10cm, h=3m, para cercas</t>
  </si>
  <si>
    <t>uni</t>
  </si>
  <si>
    <t>h</t>
  </si>
  <si>
    <t>Ext1 - Portinhola de abrir em alumínio tipo veneziana, perfil série 25, com guarnições 0,70x0,60m</t>
  </si>
  <si>
    <r>
      <rPr>
        <b/>
        <sz val="9"/>
        <color theme="1"/>
        <rFont val="Arial"/>
        <family val="2"/>
      </rPr>
      <t>Área Construída</t>
    </r>
    <r>
      <rPr>
        <sz val="9"/>
        <color theme="1"/>
        <rFont val="Arial"/>
        <family val="2"/>
      </rPr>
      <t>:  11,20m² (2040,28m²)</t>
    </r>
  </si>
  <si>
    <t>Local:</t>
  </si>
  <si>
    <r>
      <rPr>
        <b/>
        <sz val="9"/>
        <color theme="1"/>
        <rFont val="Arial"/>
        <family val="2"/>
      </rPr>
      <t>Local</t>
    </r>
    <r>
      <rPr>
        <sz val="9"/>
        <color theme="1"/>
        <rFont val="Arial"/>
        <family val="2"/>
      </rPr>
      <t xml:space="preserve">: </t>
    </r>
  </si>
  <si>
    <r>
      <rPr>
        <b/>
        <sz val="9"/>
        <color theme="1"/>
        <rFont val="Arial"/>
        <family val="2"/>
      </rPr>
      <t>Área Construída</t>
    </r>
    <r>
      <rPr>
        <sz val="9"/>
        <color theme="1"/>
        <rFont val="Arial"/>
        <family val="2"/>
      </rPr>
      <t>:  108,67m² (2040,28m²)</t>
    </r>
  </si>
  <si>
    <t>OBRA: CENTRO DE TREINAMENTO CÃO-GUIA - ADOÇÃO</t>
  </si>
  <si>
    <r>
      <rPr>
        <b/>
        <sz val="9"/>
        <color theme="1"/>
        <rFont val="Arial"/>
        <family val="2"/>
      </rPr>
      <t>Área Construída</t>
    </r>
    <r>
      <rPr>
        <sz val="9"/>
        <color theme="1"/>
        <rFont val="Arial"/>
        <family val="2"/>
      </rPr>
      <t>:  113,29m² (2040,28m²)</t>
    </r>
  </si>
  <si>
    <t>Cerca conforme projeto</t>
  </si>
  <si>
    <r>
      <rPr>
        <b/>
        <sz val="9"/>
        <color theme="1"/>
        <rFont val="Arial"/>
        <family val="2"/>
      </rPr>
      <t>Área Construída</t>
    </r>
    <r>
      <rPr>
        <sz val="9"/>
        <color theme="1"/>
        <rFont val="Arial"/>
        <family val="2"/>
      </rPr>
      <t>:  29,74m² (2040,28m²)</t>
    </r>
  </si>
  <si>
    <r>
      <rPr>
        <b/>
        <sz val="9"/>
        <color theme="1"/>
        <rFont val="Arial"/>
        <family val="2"/>
      </rPr>
      <t>Área Construída</t>
    </r>
    <r>
      <rPr>
        <sz val="9"/>
        <color theme="1"/>
        <rFont val="Arial"/>
        <family val="2"/>
      </rPr>
      <t>:  55,08m² (2040,28m²)</t>
    </r>
  </si>
  <si>
    <r>
      <rPr>
        <b/>
        <sz val="9"/>
        <color theme="1"/>
        <rFont val="Arial"/>
        <family val="2"/>
      </rPr>
      <t>Área Construída</t>
    </r>
    <r>
      <rPr>
        <sz val="9"/>
        <color theme="1"/>
        <rFont val="Arial"/>
        <family val="2"/>
      </rPr>
      <t>:  26,00m² (2040,28m²)</t>
    </r>
  </si>
  <si>
    <t>Gradil de alumínio anodizado tipo barra chata c/6cm altura 1,6m</t>
  </si>
  <si>
    <t>Gradil de alumínio anodizado tipo barra chata c/3cm altura 1,60m</t>
  </si>
  <si>
    <r>
      <t>Área Costruída = 2040,28</t>
    </r>
    <r>
      <rPr>
        <sz val="12"/>
        <rFont val="Arial"/>
        <family val="2"/>
      </rPr>
      <t>m²</t>
    </r>
  </si>
  <si>
    <t>150 - 180 DIAS</t>
  </si>
  <si>
    <t>180 - 210 DIAS</t>
  </si>
  <si>
    <t>210 - 240 DIAS</t>
  </si>
  <si>
    <t>Locação redes de esgoto</t>
  </si>
  <si>
    <t>Und.</t>
  </si>
  <si>
    <t xml:space="preserve">74104/001 </t>
  </si>
  <si>
    <t>Caixa inspeção em alvenaria 60x60x60cm</t>
  </si>
  <si>
    <t>74165/004</t>
  </si>
  <si>
    <t xml:space="preserve">Tubo esgoto DN 100mm </t>
  </si>
  <si>
    <t>Tanque séptico 2,40x2,50m</t>
  </si>
  <si>
    <t>Tanque de aeração 2,00x1,50m</t>
  </si>
  <si>
    <t>Tanque de decantação 2,00x2,00m</t>
  </si>
  <si>
    <t>Tanque de desinfecção 1,50x2,00</t>
  </si>
  <si>
    <t>Soprador CR4 trifásico</t>
  </si>
  <si>
    <t>Bomba de 1CV para retorno do lodo -trifasica</t>
  </si>
  <si>
    <t>Difusores de 40cm</t>
  </si>
  <si>
    <t>Contactoras</t>
  </si>
  <si>
    <t>Disjuntor</t>
  </si>
  <si>
    <t>Timers</t>
  </si>
  <si>
    <t>Painel controle</t>
  </si>
  <si>
    <t>Boia para desinfecção</t>
  </si>
  <si>
    <t>Casa de maquina p/CR4 e painel controle</t>
  </si>
  <si>
    <t>10.11.1</t>
  </si>
  <si>
    <t>10.11.2</t>
  </si>
  <si>
    <t>10.11.3</t>
  </si>
  <si>
    <t>10.11.4</t>
  </si>
  <si>
    <t>10.11.5</t>
  </si>
  <si>
    <t>10.11.6</t>
  </si>
  <si>
    <t>10.11.7</t>
  </si>
  <si>
    <t>10.11.8</t>
  </si>
  <si>
    <t>10.11.9</t>
  </si>
  <si>
    <t>10.11.10</t>
  </si>
  <si>
    <t>10.11.11</t>
  </si>
  <si>
    <t>10.11.12</t>
  </si>
  <si>
    <t>10.11.13</t>
  </si>
  <si>
    <t>10.11.14</t>
  </si>
  <si>
    <t>10.11.15</t>
  </si>
  <si>
    <t>Rede de coleta e tratamento de degetos</t>
  </si>
  <si>
    <t>Poço visita para rede de esgoto sanitario diametro 0,40m</t>
  </si>
  <si>
    <t>Rede de captação e distribuição de água potável</t>
  </si>
  <si>
    <t xml:space="preserve">Locação redes de água </t>
  </si>
  <si>
    <t>75030/004</t>
  </si>
  <si>
    <t>Tubo Pvc sold. Água 50mm incl. Conexões</t>
  </si>
  <si>
    <t>Caixa d'água 10.000L</t>
  </si>
  <si>
    <t>74058/002</t>
  </si>
  <si>
    <t>Torneira boia p/caixa d'água</t>
  </si>
  <si>
    <t>Registro de esfera 50mm PVC</t>
  </si>
  <si>
    <t>Registro de gaveta 50mm c/canopla</t>
  </si>
  <si>
    <t>Rede de captação e distribuição de águas pluviais</t>
  </si>
  <si>
    <t>Poço visita para rede Pluvial diametro 40mm</t>
  </si>
  <si>
    <t>Tubo esgoto DN 100mm p/aguas pluviais</t>
  </si>
  <si>
    <t>74168/001</t>
  </si>
  <si>
    <t>Tubo esgoto DN 150mm p/aguas pluviais</t>
  </si>
  <si>
    <t>75030/002</t>
  </si>
  <si>
    <t>Tubo Pvc sold. Água 32mm incl. Conexões</t>
  </si>
  <si>
    <t>Caixa d'água 5.000L</t>
  </si>
  <si>
    <t>74181/001</t>
  </si>
  <si>
    <t>Registro 50mm</t>
  </si>
  <si>
    <t>74183/001</t>
  </si>
  <si>
    <t>Registro 32mm</t>
  </si>
  <si>
    <t>Bomba imersão 3CV trifasica</t>
  </si>
  <si>
    <t>Boia elétrica</t>
  </si>
  <si>
    <t>Condutor 6,0mm², isolação 750v</t>
  </si>
  <si>
    <t>10.12.1</t>
  </si>
  <si>
    <t>10.12.2</t>
  </si>
  <si>
    <t>10.12.3</t>
  </si>
  <si>
    <t>10.12.4</t>
  </si>
  <si>
    <t>10.12.5</t>
  </si>
  <si>
    <t>10.12.6</t>
  </si>
  <si>
    <t>10.13.1</t>
  </si>
  <si>
    <t>10.13.2</t>
  </si>
  <si>
    <t>10.13.3</t>
  </si>
  <si>
    <t>10.13.4</t>
  </si>
  <si>
    <t>10.13.5</t>
  </si>
  <si>
    <t>10.13.6</t>
  </si>
  <si>
    <t>10.13.7</t>
  </si>
  <si>
    <t>10.13.8</t>
  </si>
  <si>
    <t>10.13.9</t>
  </si>
  <si>
    <t>10.13.10</t>
  </si>
  <si>
    <t>10.13.11</t>
  </si>
  <si>
    <t>10.13.12</t>
  </si>
  <si>
    <t>10.13.13</t>
  </si>
  <si>
    <t>10.13.14</t>
  </si>
  <si>
    <t>10.13.15</t>
  </si>
  <si>
    <t>10.13.16</t>
  </si>
  <si>
    <t>10.13.17</t>
  </si>
  <si>
    <t>74015/001</t>
  </si>
  <si>
    <t>Reatero e compactação</t>
  </si>
  <si>
    <t>74009/001</t>
  </si>
  <si>
    <t>Regularização e  compactação</t>
  </si>
  <si>
    <t>74138/002</t>
  </si>
  <si>
    <t xml:space="preserve">Lajes capa de concreto esp.0,05cm </t>
  </si>
  <si>
    <t>73942/002</t>
  </si>
  <si>
    <t>Aço capa de concreto</t>
  </si>
  <si>
    <t>kg</t>
  </si>
  <si>
    <t xml:space="preserve">Lajes pré-moldada c/ tavela cerâmica p/ forro sobrecarga 100 Kg/m² c/ escoramento </t>
  </si>
  <si>
    <t>74090/002</t>
  </si>
  <si>
    <t>Drenos para Ar condicionado</t>
  </si>
  <si>
    <t>Cuba de inox</t>
  </si>
  <si>
    <t>13.17</t>
  </si>
  <si>
    <t>73920/006</t>
  </si>
  <si>
    <t>Regularização de contrapiso e= 4cm</t>
  </si>
  <si>
    <t>Juntas de dilatação (0,20 x 0,03m)</t>
  </si>
  <si>
    <t>Caixa de agua 5000Litros</t>
  </si>
  <si>
    <t>Pilaretes e cintas em concreto armado incluindo forma e desforma FCK 20 Mpa</t>
  </si>
  <si>
    <t>Caixa de agua 250Litros</t>
  </si>
  <si>
    <t>240 - 270 DIAS</t>
  </si>
  <si>
    <t>ACUMULADO</t>
  </si>
  <si>
    <t>73911/001</t>
  </si>
  <si>
    <t>73860/012</t>
  </si>
  <si>
    <t>73860/008</t>
  </si>
  <si>
    <t>73860/009</t>
  </si>
  <si>
    <t>74130/002</t>
  </si>
  <si>
    <t>74130/004</t>
  </si>
  <si>
    <t>74131/004</t>
  </si>
  <si>
    <t xml:space="preserve">Eletroduto 32mm  1 1/4" PVC rigido </t>
  </si>
  <si>
    <t>74165/003</t>
  </si>
  <si>
    <t>74165/002</t>
  </si>
  <si>
    <t>74165/001</t>
  </si>
  <si>
    <t>75051/002</t>
  </si>
  <si>
    <t>75051/003</t>
  </si>
  <si>
    <t>75051/004</t>
  </si>
  <si>
    <t>75051/005</t>
  </si>
  <si>
    <t>271 40729</t>
  </si>
  <si>
    <t>Drenos para Ar condicionado conforme projeto</t>
  </si>
  <si>
    <t>73860/010</t>
  </si>
  <si>
    <t>Torneira p/ lav. cromada c/ sistema automático de fechamento</t>
  </si>
  <si>
    <t>Torneira p/ lav. cromada c/ sistema misturador</t>
  </si>
  <si>
    <t>Ducha p/ lav. cromada c/ sistema misturador</t>
  </si>
  <si>
    <t xml:space="preserve">Torneira p/ pia de enchague </t>
  </si>
  <si>
    <t>73860/013</t>
  </si>
  <si>
    <t>Concreto estrutural FCK=25MPa para sapata e colarinho</t>
  </si>
  <si>
    <t>Lançamento e adensamento de concreto em sapata e colarinho</t>
  </si>
  <si>
    <t>Lastro de brita sapata fundação e=5cm</t>
  </si>
  <si>
    <t>Contrapiso em concreto impermeabilizado e=10cm</t>
  </si>
  <si>
    <t>Lançamento e adençamento de concreto em contrapiso</t>
  </si>
  <si>
    <t>Forma para sapata e colarinho incluindo montagem</t>
  </si>
  <si>
    <t>Armação de sapata e colarinho aço CA-50 form., corte c/ 10%, dobra e colocação</t>
  </si>
  <si>
    <t>Forma para pilares incluindo transporte, corte, montagem, escoramento, nivelamento, cimbramento e desforma</t>
  </si>
  <si>
    <t>Forma para vigas incluindo transporte, corte, montagem, escoramento, nivelamento, cimbramento e desforma</t>
  </si>
  <si>
    <t>Concreto estrutural FCK=25MPa para vigas</t>
  </si>
  <si>
    <t>Lançamento manual de concreto em vigas incluindo vibração</t>
  </si>
  <si>
    <t>Concreto estrutural FCK=25MPa para pilares</t>
  </si>
  <si>
    <t>Lançamento manual de concreto em pilares incluindo vibração</t>
  </si>
  <si>
    <t>Armação de pilares aço CA-50 fornecimento, corte c/ 10%, dobra e colocação</t>
  </si>
  <si>
    <t>Armação de pilares aço CA-60 fornecimento, corte c/ 10%, dobra e colocação</t>
  </si>
  <si>
    <t>Armação de vigas aço CA-50 fornecimento, corte c/ 10%, dobra e colocação</t>
  </si>
  <si>
    <t>Armação de vigas aço CA-60 fornecimento, corte c/ 10%, dobra e colocação</t>
  </si>
  <si>
    <t>Lançamento manual de concreto em escadas incluindo vibração</t>
  </si>
  <si>
    <t>Forma para escada incluindo transporte, corte, montagem, escoramento, nivelamento, cimbramento e desforma</t>
  </si>
  <si>
    <t>Kg</t>
  </si>
  <si>
    <t>Armação de escadas aço CA-60 fornecimento, corte c/ 10%, dobra e colocação</t>
  </si>
  <si>
    <t>Junta de dilatação e=1cm c/ E.P.S.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</si>
  <si>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</si>
  <si>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</si>
  <si>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</si>
  <si>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</si>
  <si>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</si>
  <si>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</si>
  <si>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</si>
  <si>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</si>
  <si>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</si>
  <si>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</si>
  <si>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</si>
  <si>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73972/001</t>
  </si>
  <si>
    <t>74157/001</t>
  </si>
  <si>
    <t>74157/002</t>
  </si>
  <si>
    <t>74254/001 - 002</t>
  </si>
  <si>
    <t>Lajota cerâmica B8/25/20</t>
  </si>
  <si>
    <t>Concreto estrutural FCK=30MPa para pilares</t>
  </si>
  <si>
    <t>Concreto estrutural FCK=30MPa para vigas</t>
  </si>
  <si>
    <t>Concreto estrutural FCK-25MPa para lajes, maciça / capa pré-moldada e=5cm</t>
  </si>
  <si>
    <t>Concreto estrutural FCK-30MPa para lajes, maciça / capa pré-moldada e=5cm</t>
  </si>
  <si>
    <t>Concreto estrutural FCK=20MPa para vigas</t>
  </si>
  <si>
    <t>Concreto estrutural FCK=20MPa para pilares</t>
  </si>
  <si>
    <t>Laje treliçada 1 direção, conforme projeto estrutural, incluindo transporte, montagem de estrutura,armação de distribuição, escoramento, nivelamento e cimbramento h= 17cm</t>
  </si>
  <si>
    <t>Forma  para lajes, maciçaes  incluindo transporte, corte, montagem, escoramento, nivelamento, cimbramento e desforma</t>
  </si>
  <si>
    <t>Armação de para lajes, maciça aço CA-50 fornecimento, corte c/ 10%, dobra e colocação</t>
  </si>
  <si>
    <t>Armação de para lajes, maciça aço CA-60 fornecimento, corte c/ 10%, dobra e colocação</t>
  </si>
  <si>
    <t>6.22</t>
  </si>
  <si>
    <t>6.23</t>
  </si>
  <si>
    <t>Armação  para lajes, maciça  aço CA-50 fornecimento, corte c/ 10%, dobra e colocação</t>
  </si>
  <si>
    <t>Armação  para lajes, maciça  aço CA-60 fornecimento, corte c/ 10%, dobra e colocação</t>
  </si>
  <si>
    <t>Armação para lajes, maciça aço CA-60 fornecimento, corte c/ 10%, dobra e colocação</t>
  </si>
  <si>
    <t>Lançamento manual de concreto para lajes, maciça incluindo vibração</t>
  </si>
  <si>
    <t>Forma para  lajes, maciça  incluindo transporte, corte, montagem, escoramento, nivelamento, cimbramento e desforma</t>
  </si>
  <si>
    <t xml:space="preserve">Laje treliçada 1 direção, conforme projeto estrutural, incluindo transporte, montagem de estrutura,armação de distribuição, escoramento, nivelamento e cimbramento </t>
  </si>
  <si>
    <t>Laje treliçada 1 direção, conforme projeto estrutural, incluindo transporte, montagem de estrutura,armação de distribuição, escoramento, nivelamento e cimbramento</t>
  </si>
  <si>
    <t>Forma para laje incluindo transporte, corte, montagem, escoramento, nivelamento, cimbramento e desforma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</si>
</sst>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64" formatCode="[$-416]General"/>
    <numFmt numFmtId="165" formatCode="[$-416]#,##0.00"/>
    <numFmt numFmtId="166" formatCode="[$-416]0.00"/>
    <numFmt numFmtId="167" formatCode="000000"/>
    <numFmt numFmtId="168" formatCode="00"/>
    <numFmt numFmtId="169" formatCode="&quot;R$ &quot;#,##0.00"/>
    <numFmt numFmtId="170" formatCode="_(* #,##0.00_);_(* \(#,##0.00\)"/>
    <numFmt numFmtId="171" formatCode="_(* #,##0.00_);_(* \(#,##0.00\);_(* &quot;-&quot;??_);_(@_)"/>
    <numFmt numFmtId="172" formatCode="[$-416]0"/>
  </numFmts>
  <fonts count="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10"/>
      <color rgb="FF000000"/>
      <name val="MS Sans 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FF000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4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u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u/>
      <sz val="18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92D05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8">
    <xf numFmtId="165" fontId="0" fillId="0" borderId="0"/>
    <xf numFmtId="9" fontId="11" fillId="0" borderId="0" applyFont="0" applyFill="0" applyBorder="0" applyAlignment="0" applyProtection="0"/>
    <xf numFmtId="165" fontId="14" fillId="0" borderId="0" applyBorder="0" applyProtection="0"/>
    <xf numFmtId="165" fontId="14" fillId="0" borderId="0" applyBorder="0" applyProtection="0"/>
    <xf numFmtId="43" fontId="11" fillId="0" borderId="0" applyFont="0" applyFill="0" applyBorder="0" applyAlignment="0" applyProtection="0"/>
    <xf numFmtId="0" fontId="34" fillId="0" borderId="0" applyProtection="0"/>
    <xf numFmtId="0" fontId="34" fillId="0" borderId="0"/>
    <xf numFmtId="168" fontId="11" fillId="0" borderId="0"/>
  </cellStyleXfs>
  <cellXfs count="591">
    <xf numFmtId="165" fontId="0" fillId="0" borderId="0" xfId="0"/>
    <xf numFmtId="165" fontId="0" fillId="0" borderId="0" xfId="0" applyAlignment="1">
      <alignment horizontal="center" vertical="center"/>
    </xf>
    <xf numFmtId="165" fontId="1" fillId="0" borderId="0" xfId="0" applyFont="1"/>
    <xf numFmtId="165" fontId="1" fillId="0" borderId="0" xfId="0" applyFont="1" applyAlignment="1">
      <alignment horizontal="center" vertical="center"/>
    </xf>
    <xf numFmtId="165" fontId="2" fillId="0" borderId="1" xfId="0" applyFont="1" applyBorder="1"/>
    <xf numFmtId="165" fontId="3" fillId="0" borderId="1" xfId="0" applyFont="1" applyBorder="1" applyAlignment="1">
      <alignment horizontal="center" vertical="center"/>
    </xf>
    <xf numFmtId="165" fontId="5" fillId="0" borderId="0" xfId="0" applyFont="1" applyAlignment="1">
      <alignment horizontal="left" vertical="center"/>
    </xf>
    <xf numFmtId="165" fontId="0" fillId="0" borderId="0" xfId="0" applyAlignment="1">
      <alignment horizontal="left" vertical="center"/>
    </xf>
    <xf numFmtId="165" fontId="2" fillId="2" borderId="3" xfId="0" applyFont="1" applyFill="1" applyBorder="1" applyAlignment="1">
      <alignment horizontal="center" vertical="center"/>
    </xf>
    <xf numFmtId="165" fontId="2" fillId="2" borderId="2" xfId="0" applyFont="1" applyFill="1" applyBorder="1" applyAlignment="1">
      <alignment horizontal="center" vertical="center" wrapText="1"/>
    </xf>
    <xf numFmtId="165" fontId="2" fillId="2" borderId="3" xfId="0" applyFont="1" applyFill="1" applyBorder="1" applyAlignment="1">
      <alignment horizontal="center" vertical="center" wrapText="1"/>
    </xf>
    <xf numFmtId="165" fontId="3" fillId="0" borderId="0" xfId="0" applyFont="1" applyFill="1" applyBorder="1"/>
    <xf numFmtId="165" fontId="0" fillId="0" borderId="0" xfId="0" applyBorder="1"/>
    <xf numFmtId="165" fontId="2" fillId="2" borderId="3" xfId="0" applyFont="1" applyFill="1" applyBorder="1" applyAlignment="1">
      <alignment vertical="center" wrapText="1"/>
    </xf>
    <xf numFmtId="165" fontId="2" fillId="0" borderId="0" xfId="0" applyFont="1" applyFill="1" applyBorder="1" applyAlignment="1">
      <alignment horizontal="center" vertical="center"/>
    </xf>
    <xf numFmtId="165" fontId="2" fillId="0" borderId="0" xfId="0" applyFont="1" applyFill="1" applyBorder="1" applyAlignment="1">
      <alignment horizontal="center" vertical="center" wrapText="1"/>
    </xf>
    <xf numFmtId="165" fontId="2" fillId="2" borderId="2" xfId="0" applyFont="1" applyFill="1" applyBorder="1" applyAlignment="1">
      <alignment horizontal="center" wrapText="1"/>
    </xf>
    <xf numFmtId="165" fontId="3" fillId="0" borderId="0" xfId="0" applyFont="1"/>
    <xf numFmtId="165" fontId="2" fillId="0" borderId="0" xfId="0" applyFont="1"/>
    <xf numFmtId="165" fontId="6" fillId="0" borderId="0" xfId="0" applyFont="1"/>
    <xf numFmtId="165" fontId="2" fillId="4" borderId="4" xfId="0" applyFont="1" applyFill="1" applyBorder="1" applyAlignment="1"/>
    <xf numFmtId="2" fontId="3" fillId="0" borderId="1" xfId="0" applyNumberFormat="1" applyFont="1" applyBorder="1"/>
    <xf numFmtId="2" fontId="2" fillId="3" borderId="4" xfId="0" applyNumberFormat="1" applyFont="1" applyFill="1" applyBorder="1" applyAlignment="1">
      <alignment horizontal="right"/>
    </xf>
    <xf numFmtId="2" fontId="1" fillId="3" borderId="4" xfId="0" applyNumberFormat="1" applyFont="1" applyFill="1" applyBorder="1" applyAlignment="1"/>
    <xf numFmtId="165" fontId="3" fillId="4" borderId="1" xfId="0" applyFont="1" applyFill="1" applyBorder="1"/>
    <xf numFmtId="2" fontId="3" fillId="4" borderId="1" xfId="0" applyNumberFormat="1" applyFont="1" applyFill="1" applyBorder="1"/>
    <xf numFmtId="165" fontId="0" fillId="0" borderId="0" xfId="0" applyAlignment="1">
      <alignment wrapText="1"/>
    </xf>
    <xf numFmtId="2" fontId="0" fillId="0" borderId="0" xfId="0" applyNumberFormat="1"/>
    <xf numFmtId="165" fontId="3" fillId="0" borderId="0" xfId="0" applyFont="1" applyBorder="1"/>
    <xf numFmtId="165" fontId="3" fillId="0" borderId="0" xfId="0" applyFont="1" applyBorder="1" applyAlignment="1">
      <alignment horizontal="center" vertical="center"/>
    </xf>
    <xf numFmtId="2" fontId="3" fillId="0" borderId="0" xfId="0" applyNumberFormat="1" applyFont="1" applyBorder="1"/>
    <xf numFmtId="165" fontId="0" fillId="0" borderId="0" xfId="0" applyFont="1" applyBorder="1"/>
    <xf numFmtId="165" fontId="0" fillId="0" borderId="0" xfId="0" applyFont="1" applyBorder="1" applyAlignment="1">
      <alignment horizontal="center" vertical="center"/>
    </xf>
    <xf numFmtId="165" fontId="3" fillId="0" borderId="0" xfId="0" applyFont="1" applyBorder="1" applyAlignment="1">
      <alignment wrapText="1"/>
    </xf>
    <xf numFmtId="165" fontId="8" fillId="0" borderId="0" xfId="0" applyFont="1" applyBorder="1" applyAlignment="1">
      <alignment wrapText="1"/>
    </xf>
    <xf numFmtId="165" fontId="3" fillId="0" borderId="0" xfId="0" applyFont="1" applyBorder="1" applyAlignment="1">
      <alignment horizontal="center" vertical="center" wrapText="1"/>
    </xf>
    <xf numFmtId="165" fontId="2" fillId="4" borderId="1" xfId="0" applyFont="1" applyFill="1" applyBorder="1"/>
    <xf numFmtId="10" fontId="2" fillId="2" borderId="3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right"/>
    </xf>
    <xf numFmtId="2" fontId="1" fillId="3" borderId="1" xfId="0" applyNumberFormat="1" applyFont="1" applyFill="1" applyBorder="1" applyAlignment="1"/>
    <xf numFmtId="165" fontId="7" fillId="0" borderId="0" xfId="0" applyFont="1" applyBorder="1" applyAlignment="1">
      <alignment wrapText="1"/>
    </xf>
    <xf numFmtId="2" fontId="7" fillId="0" borderId="0" xfId="0" applyNumberFormat="1" applyFont="1" applyBorder="1"/>
    <xf numFmtId="165" fontId="0" fillId="0" borderId="0" xfId="0" applyBorder="1" applyAlignment="1">
      <alignment horizontal="center" vertical="center"/>
    </xf>
    <xf numFmtId="165" fontId="9" fillId="0" borderId="0" xfId="0" applyFont="1"/>
    <xf numFmtId="2" fontId="0" fillId="0" borderId="0" xfId="0" applyNumberFormat="1" applyAlignment="1">
      <alignment horizontal="center" vertical="center"/>
    </xf>
    <xf numFmtId="2" fontId="0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2" fontId="3" fillId="0" borderId="1" xfId="0" applyNumberFormat="1" applyFont="1" applyFill="1" applyBorder="1"/>
    <xf numFmtId="165" fontId="2" fillId="0" borderId="1" xfId="0" applyFont="1" applyFill="1" applyBorder="1"/>
    <xf numFmtId="165" fontId="3" fillId="0" borderId="1" xfId="0" applyFont="1" applyFill="1" applyBorder="1"/>
    <xf numFmtId="165" fontId="3" fillId="0" borderId="1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165" fontId="0" fillId="0" borderId="0" xfId="0" applyAlignment="1"/>
    <xf numFmtId="165" fontId="0" fillId="0" borderId="0" xfId="0" applyFill="1"/>
    <xf numFmtId="2" fontId="10" fillId="0" borderId="1" xfId="0" applyNumberFormat="1" applyFont="1" applyFill="1" applyBorder="1"/>
    <xf numFmtId="165" fontId="3" fillId="0" borderId="0" xfId="0" applyFont="1" applyAlignment="1">
      <alignment vertical="center"/>
    </xf>
    <xf numFmtId="165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wrapText="1"/>
    </xf>
    <xf numFmtId="165" fontId="3" fillId="0" borderId="1" xfId="0" applyFont="1" applyFill="1" applyBorder="1" applyAlignment="1">
      <alignment wrapText="1"/>
    </xf>
    <xf numFmtId="165" fontId="2" fillId="0" borderId="4" xfId="0" applyFont="1" applyFill="1" applyBorder="1"/>
    <xf numFmtId="165" fontId="2" fillId="0" borderId="1" xfId="0" applyFont="1" applyBorder="1"/>
    <xf numFmtId="165" fontId="15" fillId="6" borderId="9" xfId="3" applyNumberFormat="1" applyFont="1" applyFill="1" applyBorder="1" applyAlignment="1"/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vertical="center"/>
    </xf>
    <xf numFmtId="165" fontId="18" fillId="0" borderId="0" xfId="0" applyFont="1" applyAlignment="1">
      <alignment vertical="center"/>
    </xf>
    <xf numFmtId="165" fontId="10" fillId="0" borderId="0" xfId="0" applyFont="1" applyAlignment="1">
      <alignment vertical="center"/>
    </xf>
    <xf numFmtId="10" fontId="18" fillId="0" borderId="0" xfId="1" applyNumberFormat="1" applyFont="1" applyAlignment="1">
      <alignment horizontal="left" vertical="center"/>
    </xf>
    <xf numFmtId="2" fontId="21" fillId="2" borderId="1" xfId="0" applyNumberFormat="1" applyFont="1" applyFill="1" applyBorder="1"/>
    <xf numFmtId="165" fontId="20" fillId="0" borderId="0" xfId="0" applyFont="1"/>
    <xf numFmtId="0" fontId="2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/>
    <xf numFmtId="0" fontId="3" fillId="0" borderId="0" xfId="0" applyNumberFormat="1" applyFont="1" applyFill="1" applyBorder="1"/>
    <xf numFmtId="0" fontId="0" fillId="0" borderId="0" xfId="0" applyNumberFormat="1"/>
    <xf numFmtId="165" fontId="2" fillId="4" borderId="6" xfId="0" applyFont="1" applyFill="1" applyBorder="1" applyAlignment="1"/>
    <xf numFmtId="164" fontId="16" fillId="0" borderId="9" xfId="2" applyNumberFormat="1" applyFont="1" applyFill="1" applyBorder="1" applyAlignment="1"/>
    <xf numFmtId="165" fontId="3" fillId="0" borderId="15" xfId="0" applyFont="1" applyFill="1" applyBorder="1"/>
    <xf numFmtId="0" fontId="3" fillId="0" borderId="15" xfId="0" applyNumberFormat="1" applyFont="1" applyFill="1" applyBorder="1"/>
    <xf numFmtId="0" fontId="0" fillId="0" borderId="15" xfId="0" applyNumberFormat="1" applyFill="1" applyBorder="1" applyAlignment="1"/>
    <xf numFmtId="0" fontId="2" fillId="0" borderId="1" xfId="0" applyNumberFormat="1" applyFont="1" applyFill="1" applyBorder="1"/>
    <xf numFmtId="0" fontId="0" fillId="0" borderId="0" xfId="0" applyNumberFormat="1" applyFill="1"/>
    <xf numFmtId="2" fontId="3" fillId="0" borderId="4" xfId="0" applyNumberFormat="1" applyFont="1" applyFill="1" applyBorder="1"/>
    <xf numFmtId="165" fontId="0" fillId="0" borderId="15" xfId="0" applyFill="1" applyBorder="1"/>
    <xf numFmtId="0" fontId="3" fillId="0" borderId="1" xfId="4" applyNumberFormat="1" applyFont="1" applyFill="1" applyBorder="1" applyAlignment="1">
      <alignment horizontal="center"/>
    </xf>
    <xf numFmtId="165" fontId="2" fillId="2" borderId="3" xfId="0" applyFont="1" applyFill="1" applyBorder="1" applyAlignment="1">
      <alignment horizontal="center" vertical="center"/>
    </xf>
    <xf numFmtId="165" fontId="12" fillId="0" borderId="1" xfId="0" applyFont="1" applyFill="1" applyBorder="1"/>
    <xf numFmtId="165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wrapText="1"/>
    </xf>
    <xf numFmtId="165" fontId="10" fillId="0" borderId="1" xfId="0" applyFont="1" applyFill="1" applyBorder="1" applyAlignment="1">
      <alignment wrapText="1"/>
    </xf>
    <xf numFmtId="165" fontId="10" fillId="0" borderId="0" xfId="0" applyFont="1" applyFill="1" applyBorder="1"/>
    <xf numFmtId="165" fontId="13" fillId="0" borderId="0" xfId="0" applyFont="1" applyFill="1"/>
    <xf numFmtId="0" fontId="3" fillId="0" borderId="1" xfId="0" applyNumberFormat="1" applyFont="1" applyFill="1" applyBorder="1" applyAlignment="1">
      <alignment horizontal="center" vertical="center"/>
    </xf>
    <xf numFmtId="165" fontId="16" fillId="0" borderId="9" xfId="3" applyNumberFormat="1" applyFont="1" applyFill="1" applyBorder="1" applyAlignment="1"/>
    <xf numFmtId="165" fontId="16" fillId="0" borderId="9" xfId="2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49" fontId="22" fillId="0" borderId="0" xfId="0" applyNumberFormat="1" applyFont="1" applyBorder="1" applyAlignment="1">
      <alignment vertical="center"/>
    </xf>
    <xf numFmtId="165" fontId="22" fillId="0" borderId="0" xfId="0" applyFont="1" applyBorder="1"/>
    <xf numFmtId="165" fontId="16" fillId="0" borderId="0" xfId="0" applyFont="1" applyBorder="1"/>
    <xf numFmtId="165" fontId="10" fillId="0" borderId="0" xfId="0" applyFont="1" applyBorder="1" applyAlignment="1">
      <alignment vertical="center"/>
    </xf>
    <xf numFmtId="10" fontId="18" fillId="0" borderId="0" xfId="1" applyNumberFormat="1" applyFont="1" applyBorder="1" applyAlignment="1">
      <alignment horizontal="left" vertical="center"/>
    </xf>
    <xf numFmtId="165" fontId="18" fillId="0" borderId="0" xfId="0" applyFont="1" applyBorder="1" applyAlignment="1">
      <alignment vertical="center"/>
    </xf>
    <xf numFmtId="165" fontId="15" fillId="0" borderId="0" xfId="0" applyFont="1" applyBorder="1"/>
    <xf numFmtId="165" fontId="16" fillId="0" borderId="0" xfId="0" applyFont="1" applyBorder="1" applyAlignment="1">
      <alignment vertical="center"/>
    </xf>
    <xf numFmtId="165" fontId="15" fillId="7" borderId="2" xfId="0" applyFont="1" applyFill="1" applyBorder="1" applyAlignment="1">
      <alignment horizontal="center" vertical="center" wrapText="1"/>
    </xf>
    <xf numFmtId="165" fontId="15" fillId="7" borderId="2" xfId="0" applyFont="1" applyFill="1" applyBorder="1" applyAlignment="1">
      <alignment horizontal="center" wrapText="1"/>
    </xf>
    <xf numFmtId="165" fontId="15" fillId="7" borderId="3" xfId="0" applyFont="1" applyFill="1" applyBorder="1" applyAlignment="1">
      <alignment horizontal="center" vertical="center"/>
    </xf>
    <xf numFmtId="165" fontId="15" fillId="7" borderId="3" xfId="0" applyFont="1" applyFill="1" applyBorder="1" applyAlignment="1">
      <alignment horizontal="center" vertical="center" wrapText="1"/>
    </xf>
    <xf numFmtId="10" fontId="15" fillId="7" borderId="3" xfId="0" applyNumberFormat="1" applyFont="1" applyFill="1" applyBorder="1" applyAlignment="1">
      <alignment horizontal="center" wrapText="1"/>
    </xf>
    <xf numFmtId="165" fontId="15" fillId="0" borderId="0" xfId="0" applyFont="1" applyFill="1" applyBorder="1" applyAlignment="1">
      <alignment horizontal="center" vertical="center"/>
    </xf>
    <xf numFmtId="165" fontId="15" fillId="0" borderId="0" xfId="0" applyFont="1" applyFill="1" applyBorder="1" applyAlignment="1">
      <alignment horizontal="center" vertical="center" wrapText="1"/>
    </xf>
    <xf numFmtId="165" fontId="15" fillId="0" borderId="1" xfId="0" applyFont="1" applyBorder="1"/>
    <xf numFmtId="165" fontId="16" fillId="0" borderId="0" xfId="0" applyFont="1" applyFill="1" applyBorder="1"/>
    <xf numFmtId="2" fontId="15" fillId="8" borderId="4" xfId="0" applyNumberFormat="1" applyFont="1" applyFill="1" applyBorder="1" applyAlignment="1">
      <alignment horizontal="right"/>
    </xf>
    <xf numFmtId="2" fontId="15" fillId="8" borderId="1" xfId="0" applyNumberFormat="1" applyFont="1" applyFill="1" applyBorder="1" applyAlignment="1">
      <alignment horizontal="right"/>
    </xf>
    <xf numFmtId="2" fontId="16" fillId="0" borderId="1" xfId="0" applyNumberFormat="1" applyFont="1" applyFill="1" applyBorder="1"/>
    <xf numFmtId="165" fontId="16" fillId="0" borderId="15" xfId="0" applyFont="1" applyFill="1" applyBorder="1"/>
    <xf numFmtId="0" fontId="15" fillId="0" borderId="1" xfId="0" applyNumberFormat="1" applyFont="1" applyBorder="1"/>
    <xf numFmtId="0" fontId="16" fillId="0" borderId="15" xfId="0" applyNumberFormat="1" applyFont="1" applyFill="1" applyBorder="1"/>
    <xf numFmtId="0" fontId="16" fillId="0" borderId="0" xfId="0" applyNumberFormat="1" applyFont="1" applyFill="1" applyBorder="1"/>
    <xf numFmtId="0" fontId="16" fillId="0" borderId="1" xfId="0" applyNumberFormat="1" applyFont="1" applyBorder="1"/>
    <xf numFmtId="0" fontId="16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Fill="1" applyBorder="1"/>
    <xf numFmtId="165" fontId="15" fillId="0" borderId="1" xfId="0" applyFont="1" applyFill="1" applyBorder="1"/>
    <xf numFmtId="0" fontId="15" fillId="0" borderId="1" xfId="0" applyNumberFormat="1" applyFont="1" applyFill="1" applyBorder="1" applyAlignment="1">
      <alignment vertical="center"/>
    </xf>
    <xf numFmtId="165" fontId="15" fillId="9" borderId="4" xfId="0" applyFont="1" applyFill="1" applyBorder="1" applyAlignment="1"/>
    <xf numFmtId="165" fontId="15" fillId="9" borderId="6" xfId="0" applyFont="1" applyFill="1" applyBorder="1" applyAlignment="1"/>
    <xf numFmtId="165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/>
    <xf numFmtId="165" fontId="16" fillId="0" borderId="0" xfId="0" applyFont="1" applyBorder="1" applyAlignment="1">
      <alignment wrapText="1"/>
    </xf>
    <xf numFmtId="165" fontId="17" fillId="0" borderId="0" xfId="0" applyFont="1" applyBorder="1" applyAlignment="1">
      <alignment wrapText="1"/>
    </xf>
    <xf numFmtId="165" fontId="16" fillId="0" borderId="0" xfId="0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wrapText="1"/>
    </xf>
    <xf numFmtId="165" fontId="23" fillId="0" borderId="0" xfId="0" applyFont="1" applyBorder="1" applyAlignment="1">
      <alignment wrapText="1"/>
    </xf>
    <xf numFmtId="2" fontId="23" fillId="0" borderId="0" xfId="0" applyNumberFormat="1" applyFont="1" applyBorder="1"/>
    <xf numFmtId="165" fontId="12" fillId="0" borderId="4" xfId="0" applyFont="1" applyFill="1" applyBorder="1"/>
    <xf numFmtId="165" fontId="15" fillId="0" borderId="1" xfId="0" applyFont="1" applyFill="1" applyBorder="1" applyAlignment="1"/>
    <xf numFmtId="165" fontId="3" fillId="0" borderId="1" xfId="0" applyNumberFormat="1" applyFont="1" applyBorder="1"/>
    <xf numFmtId="166" fontId="3" fillId="0" borderId="1" xfId="0" applyNumberFormat="1" applyFont="1" applyBorder="1"/>
    <xf numFmtId="166" fontId="3" fillId="0" borderId="1" xfId="0" applyNumberFormat="1" applyFont="1" applyBorder="1" applyAlignment="1">
      <alignment horizontal="center" vertical="center"/>
    </xf>
    <xf numFmtId="165" fontId="25" fillId="0" borderId="0" xfId="0" applyFont="1" applyBorder="1"/>
    <xf numFmtId="165" fontId="26" fillId="0" borderId="0" xfId="0" applyFont="1" applyBorder="1"/>
    <xf numFmtId="165" fontId="26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center" vertical="center"/>
    </xf>
    <xf numFmtId="165" fontId="25" fillId="0" borderId="0" xfId="0" applyFont="1" applyBorder="1" applyAlignment="1">
      <alignment horizontal="center" vertical="center"/>
    </xf>
    <xf numFmtId="165" fontId="25" fillId="0" borderId="0" xfId="0" applyFont="1" applyBorder="1" applyAlignment="1"/>
    <xf numFmtId="165" fontId="27" fillId="0" borderId="0" xfId="0" applyFont="1" applyBorder="1" applyAlignment="1">
      <alignment horizontal="left" vertical="center"/>
    </xf>
    <xf numFmtId="165" fontId="25" fillId="0" borderId="0" xfId="0" applyFont="1" applyBorder="1" applyAlignment="1">
      <alignment horizontal="left" vertical="center"/>
    </xf>
    <xf numFmtId="2" fontId="25" fillId="0" borderId="0" xfId="0" applyNumberFormat="1" applyFont="1" applyBorder="1"/>
    <xf numFmtId="2" fontId="26" fillId="8" borderId="1" xfId="0" applyNumberFormat="1" applyFont="1" applyFill="1" applyBorder="1" applyAlignment="1"/>
    <xf numFmtId="0" fontId="25" fillId="0" borderId="0" xfId="0" applyNumberFormat="1" applyFont="1" applyBorder="1"/>
    <xf numFmtId="0" fontId="25" fillId="0" borderId="15" xfId="0" applyNumberFormat="1" applyFont="1" applyFill="1" applyBorder="1" applyAlignment="1"/>
    <xf numFmtId="0" fontId="25" fillId="0" borderId="0" xfId="0" applyNumberFormat="1" applyFont="1" applyFill="1" applyBorder="1"/>
    <xf numFmtId="165" fontId="25" fillId="0" borderId="0" xfId="0" applyFont="1" applyFill="1" applyBorder="1"/>
    <xf numFmtId="2" fontId="26" fillId="8" borderId="4" xfId="0" applyNumberFormat="1" applyFont="1" applyFill="1" applyBorder="1" applyAlignment="1"/>
    <xf numFmtId="165" fontId="28" fillId="0" borderId="0" xfId="0" applyFont="1" applyFill="1" applyBorder="1"/>
    <xf numFmtId="165" fontId="25" fillId="0" borderId="15" xfId="0" applyFont="1" applyFill="1" applyBorder="1"/>
    <xf numFmtId="165" fontId="25" fillId="0" borderId="0" xfId="0" applyFont="1" applyBorder="1" applyAlignment="1">
      <alignment wrapText="1"/>
    </xf>
    <xf numFmtId="2" fontId="22" fillId="7" borderId="1" xfId="0" applyNumberFormat="1" applyFont="1" applyFill="1" applyBorder="1"/>
    <xf numFmtId="165" fontId="30" fillId="0" borderId="0" xfId="0" applyFont="1" applyBorder="1"/>
    <xf numFmtId="165" fontId="31" fillId="0" borderId="0" xfId="0" applyFont="1" applyBorder="1"/>
    <xf numFmtId="0" fontId="16" fillId="0" borderId="1" xfId="4" applyNumberFormat="1" applyFont="1" applyFill="1" applyBorder="1" applyAlignment="1">
      <alignment horizontal="center"/>
    </xf>
    <xf numFmtId="165" fontId="16" fillId="0" borderId="1" xfId="0" applyFont="1" applyFill="1" applyBorder="1"/>
    <xf numFmtId="165" fontId="16" fillId="0" borderId="1" xfId="0" applyFont="1" applyFill="1" applyBorder="1" applyAlignment="1">
      <alignment horizontal="center" vertical="center"/>
    </xf>
    <xf numFmtId="165" fontId="16" fillId="0" borderId="1" xfId="0" applyFont="1" applyFill="1" applyBorder="1" applyAlignment="1">
      <alignment horizontal="center"/>
    </xf>
    <xf numFmtId="165" fontId="16" fillId="0" borderId="1" xfId="0" applyFont="1" applyFill="1" applyBorder="1" applyAlignment="1">
      <alignment wrapText="1"/>
    </xf>
    <xf numFmtId="165" fontId="15" fillId="0" borderId="4" xfId="0" applyFont="1" applyFill="1" applyBorder="1"/>
    <xf numFmtId="165" fontId="16" fillId="0" borderId="4" xfId="0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left"/>
    </xf>
    <xf numFmtId="43" fontId="3" fillId="0" borderId="1" xfId="4" applyFont="1" applyFill="1" applyBorder="1" applyAlignment="1">
      <alignment horizontal="left"/>
    </xf>
    <xf numFmtId="2" fontId="16" fillId="0" borderId="4" xfId="0" applyNumberFormat="1" applyFont="1" applyFill="1" applyBorder="1"/>
    <xf numFmtId="165" fontId="15" fillId="0" borderId="1" xfId="0" applyFont="1" applyFill="1" applyBorder="1" applyAlignment="1">
      <alignment wrapText="1"/>
    </xf>
    <xf numFmtId="165" fontId="16" fillId="0" borderId="1" xfId="0" applyFont="1" applyFill="1" applyBorder="1" applyAlignment="1">
      <alignment horizontal="center" wrapText="1"/>
    </xf>
    <xf numFmtId="0" fontId="16" fillId="0" borderId="1" xfId="0" applyNumberFormat="1" applyFont="1" applyFill="1" applyBorder="1" applyAlignment="1">
      <alignment horizontal="center"/>
    </xf>
    <xf numFmtId="164" fontId="16" fillId="0" borderId="9" xfId="2" applyNumberFormat="1" applyFont="1" applyFill="1" applyBorder="1" applyAlignment="1">
      <alignment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/>
    <xf numFmtId="166" fontId="16" fillId="0" borderId="9" xfId="2" applyNumberFormat="1" applyFont="1" applyFill="1" applyBorder="1" applyAlignment="1"/>
    <xf numFmtId="166" fontId="16" fillId="0" borderId="9" xfId="3" applyNumberFormat="1" applyFont="1" applyFill="1" applyBorder="1" applyAlignment="1"/>
    <xf numFmtId="166" fontId="3" fillId="0" borderId="1" xfId="0" applyNumberFormat="1" applyFont="1" applyFill="1" applyBorder="1"/>
    <xf numFmtId="165" fontId="16" fillId="0" borderId="9" xfId="2" applyFont="1" applyFill="1" applyBorder="1" applyAlignment="1"/>
    <xf numFmtId="165" fontId="16" fillId="0" borderId="9" xfId="2" applyFont="1" applyFill="1" applyBorder="1" applyAlignment="1">
      <alignment wrapText="1"/>
    </xf>
    <xf numFmtId="165" fontId="16" fillId="0" borderId="9" xfId="2" applyFont="1" applyFill="1" applyBorder="1" applyAlignment="1">
      <alignment horizontal="center" vertical="top"/>
    </xf>
    <xf numFmtId="165" fontId="16" fillId="0" borderId="9" xfId="3" applyNumberFormat="1" applyFont="1" applyFill="1" applyBorder="1" applyAlignment="1">
      <alignment vertical="top"/>
    </xf>
    <xf numFmtId="166" fontId="3" fillId="0" borderId="1" xfId="0" applyNumberFormat="1" applyFont="1" applyFill="1" applyBorder="1" applyAlignment="1">
      <alignment wrapText="1"/>
    </xf>
    <xf numFmtId="166" fontId="3" fillId="0" borderId="1" xfId="0" applyNumberFormat="1" applyFont="1" applyFill="1" applyBorder="1" applyAlignment="1">
      <alignment horizontal="left" wrapText="1"/>
    </xf>
    <xf numFmtId="164" fontId="16" fillId="0" borderId="0" xfId="2" applyNumberFormat="1" applyFont="1" applyFill="1" applyBorder="1" applyAlignment="1"/>
    <xf numFmtId="164" fontId="16" fillId="0" borderId="1" xfId="2" applyNumberFormat="1" applyFont="1" applyFill="1" applyBorder="1" applyAlignment="1"/>
    <xf numFmtId="165" fontId="3" fillId="0" borderId="1" xfId="0" applyFont="1" applyFill="1" applyBorder="1" applyAlignment="1">
      <alignment horizontal="center"/>
    </xf>
    <xf numFmtId="165" fontId="3" fillId="0" borderId="4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65" fontId="2" fillId="0" borderId="1" xfId="0" applyFont="1" applyFill="1" applyBorder="1" applyAlignment="1">
      <alignment wrapText="1"/>
    </xf>
    <xf numFmtId="165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/>
    <xf numFmtId="166" fontId="10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wrapText="1"/>
    </xf>
    <xf numFmtId="166" fontId="8" fillId="0" borderId="1" xfId="0" applyNumberFormat="1" applyFont="1" applyFill="1" applyBorder="1" applyAlignment="1">
      <alignment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16" fillId="0" borderId="9" xfId="2" applyNumberFormat="1" applyFont="1" applyFill="1" applyBorder="1" applyAlignment="1">
      <alignment horizontal="center"/>
    </xf>
    <xf numFmtId="166" fontId="16" fillId="0" borderId="9" xfId="2" applyNumberFormat="1" applyFont="1" applyFill="1" applyBorder="1" applyAlignment="1">
      <alignment wrapText="1"/>
    </xf>
    <xf numFmtId="166" fontId="17" fillId="0" borderId="9" xfId="2" applyNumberFormat="1" applyFont="1" applyFill="1" applyBorder="1" applyAlignment="1">
      <alignment vertical="top" wrapText="1"/>
    </xf>
    <xf numFmtId="166" fontId="16" fillId="0" borderId="9" xfId="2" applyNumberFormat="1" applyFont="1" applyFill="1" applyBorder="1" applyAlignment="1">
      <alignment horizontal="center" vertical="top"/>
    </xf>
    <xf numFmtId="166" fontId="16" fillId="0" borderId="9" xfId="3" applyNumberFormat="1" applyFont="1" applyFill="1" applyBorder="1" applyAlignment="1">
      <alignment vertical="top"/>
    </xf>
    <xf numFmtId="165" fontId="3" fillId="0" borderId="1" xfId="0" applyNumberFormat="1" applyFont="1" applyFill="1" applyBorder="1"/>
    <xf numFmtId="0" fontId="0" fillId="0" borderId="1" xfId="0" applyNumberFormat="1" applyFill="1" applyBorder="1" applyAlignment="1">
      <alignment horizontal="center"/>
    </xf>
    <xf numFmtId="165" fontId="10" fillId="0" borderId="4" xfId="0" applyFont="1" applyFill="1" applyBorder="1" applyAlignment="1">
      <alignment horizontal="center"/>
    </xf>
    <xf numFmtId="165" fontId="10" fillId="0" borderId="1" xfId="0" applyFont="1" applyFill="1" applyBorder="1" applyAlignment="1">
      <alignment horizontal="center" vertical="center"/>
    </xf>
    <xf numFmtId="2" fontId="3" fillId="0" borderId="2" xfId="0" applyNumberFormat="1" applyFont="1" applyFill="1" applyBorder="1"/>
    <xf numFmtId="2" fontId="2" fillId="3" borderId="8" xfId="0" applyNumberFormat="1" applyFont="1" applyFill="1" applyBorder="1" applyAlignment="1">
      <alignment horizontal="right"/>
    </xf>
    <xf numFmtId="2" fontId="1" fillId="3" borderId="3" xfId="0" applyNumberFormat="1" applyFont="1" applyFill="1" applyBorder="1" applyAlignment="1"/>
    <xf numFmtId="165" fontId="16" fillId="0" borderId="1" xfId="2" applyFont="1" applyFill="1" applyBorder="1" applyAlignment="1">
      <alignment horizontal="center"/>
    </xf>
    <xf numFmtId="2" fontId="16" fillId="0" borderId="1" xfId="2" applyNumberFormat="1" applyFont="1" applyFill="1" applyBorder="1" applyAlignment="1">
      <alignment horizontal="center"/>
    </xf>
    <xf numFmtId="165" fontId="0" fillId="0" borderId="1" xfId="0" applyFill="1" applyBorder="1"/>
    <xf numFmtId="2" fontId="3" fillId="0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1" xfId="4" applyNumberFormat="1" applyFont="1" applyFill="1" applyBorder="1" applyAlignment="1">
      <alignment horizontal="right"/>
    </xf>
    <xf numFmtId="0" fontId="3" fillId="0" borderId="1" xfId="4" applyNumberFormat="1" applyFont="1" applyFill="1" applyBorder="1"/>
    <xf numFmtId="165" fontId="3" fillId="0" borderId="0" xfId="0" applyFont="1" applyFill="1" applyBorder="1" applyAlignment="1">
      <alignment wrapText="1"/>
    </xf>
    <xf numFmtId="165" fontId="1" fillId="0" borderId="1" xfId="0" applyFont="1" applyFill="1" applyBorder="1"/>
    <xf numFmtId="165" fontId="0" fillId="0" borderId="1" xfId="0" applyFill="1" applyBorder="1" applyAlignment="1">
      <alignment horizontal="center" vertical="center"/>
    </xf>
    <xf numFmtId="2" fontId="0" fillId="0" borderId="1" xfId="0" applyNumberFormat="1" applyFill="1" applyBorder="1"/>
    <xf numFmtId="165" fontId="2" fillId="0" borderId="7" xfId="0" applyFont="1" applyFill="1" applyBorder="1"/>
    <xf numFmtId="165" fontId="3" fillId="0" borderId="2" xfId="0" applyFont="1" applyFill="1" applyBorder="1"/>
    <xf numFmtId="165" fontId="3" fillId="0" borderId="2" xfId="0" applyFont="1" applyFill="1" applyBorder="1" applyAlignment="1">
      <alignment horizontal="center" vertical="center"/>
    </xf>
    <xf numFmtId="0" fontId="0" fillId="0" borderId="1" xfId="0" applyNumberFormat="1" applyFill="1" applyBorder="1"/>
    <xf numFmtId="49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center" wrapText="1"/>
    </xf>
    <xf numFmtId="164" fontId="16" fillId="0" borderId="21" xfId="2" applyNumberFormat="1" applyFont="1" applyFill="1" applyBorder="1" applyAlignment="1">
      <alignment wrapText="1"/>
    </xf>
    <xf numFmtId="164" fontId="16" fillId="0" borderId="1" xfId="2" applyNumberFormat="1" applyFont="1" applyFill="1" applyBorder="1" applyAlignment="1">
      <alignment wrapText="1"/>
    </xf>
    <xf numFmtId="164" fontId="16" fillId="0" borderId="9" xfId="2" applyNumberFormat="1" applyFont="1" applyFill="1" applyBorder="1" applyAlignment="1">
      <alignment vertical="center" wrapText="1"/>
    </xf>
    <xf numFmtId="164" fontId="16" fillId="0" borderId="1" xfId="2" applyNumberFormat="1" applyFont="1" applyFill="1" applyBorder="1" applyAlignment="1">
      <alignment vertical="center" wrapText="1"/>
    </xf>
    <xf numFmtId="165" fontId="3" fillId="0" borderId="1" xfId="0" applyFont="1" applyFill="1" applyBorder="1" applyAlignment="1">
      <alignment vertical="center" wrapText="1"/>
    </xf>
    <xf numFmtId="164" fontId="16" fillId="0" borderId="21" xfId="2" applyNumberFormat="1" applyFont="1" applyFill="1" applyBorder="1" applyAlignment="1">
      <alignment vertical="center" wrapText="1"/>
    </xf>
    <xf numFmtId="0" fontId="16" fillId="0" borderId="1" xfId="0" applyNumberFormat="1" applyFont="1" applyBorder="1" applyAlignment="1">
      <alignment horizontal="center"/>
    </xf>
    <xf numFmtId="2" fontId="16" fillId="0" borderId="1" xfId="0" applyNumberFormat="1" applyFont="1" applyBorder="1"/>
    <xf numFmtId="166" fontId="16" fillId="0" borderId="9" xfId="2" applyNumberFormat="1" applyFont="1" applyFill="1" applyBorder="1" applyAlignment="1">
      <alignment vertical="top" wrapText="1"/>
    </xf>
    <xf numFmtId="165" fontId="2" fillId="2" borderId="3" xfId="0" applyFont="1" applyFill="1" applyBorder="1" applyAlignment="1">
      <alignment horizontal="center" vertical="center"/>
    </xf>
    <xf numFmtId="165" fontId="16" fillId="0" borderId="9" xfId="2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wrapText="1"/>
    </xf>
    <xf numFmtId="0" fontId="2" fillId="0" borderId="2" xfId="0" applyNumberFormat="1" applyFont="1" applyBorder="1"/>
    <xf numFmtId="0" fontId="16" fillId="0" borderId="1" xfId="0" applyNumberFormat="1" applyFont="1" applyBorder="1" applyAlignment="1">
      <alignment horizontal="center" wrapText="1"/>
    </xf>
    <xf numFmtId="0" fontId="16" fillId="0" borderId="1" xfId="0" applyNumberFormat="1" applyFont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165" fontId="0" fillId="0" borderId="0" xfId="0" applyFill="1" applyBorder="1"/>
    <xf numFmtId="165" fontId="16" fillId="0" borderId="1" xfId="3" applyNumberFormat="1" applyFont="1" applyFill="1" applyBorder="1" applyAlignment="1"/>
    <xf numFmtId="2" fontId="3" fillId="0" borderId="1" xfId="4" applyNumberFormat="1" applyFont="1" applyFill="1" applyBorder="1"/>
    <xf numFmtId="2" fontId="32" fillId="6" borderId="9" xfId="3" applyNumberFormat="1" applyFont="1" applyFill="1" applyBorder="1" applyAlignment="1"/>
    <xf numFmtId="166" fontId="16" fillId="0" borderId="9" xfId="2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/>
    <xf numFmtId="2" fontId="10" fillId="0" borderId="1" xfId="0" applyNumberFormat="1" applyFont="1" applyFill="1" applyBorder="1" applyAlignment="1"/>
    <xf numFmtId="2" fontId="15" fillId="6" borderId="9" xfId="3" applyNumberFormat="1" applyFont="1" applyFill="1" applyBorder="1" applyAlignment="1"/>
    <xf numFmtId="2" fontId="15" fillId="6" borderId="20" xfId="3" applyNumberFormat="1" applyFont="1" applyFill="1" applyBorder="1" applyAlignment="1"/>
    <xf numFmtId="2" fontId="16" fillId="0" borderId="9" xfId="2" applyNumberFormat="1" applyFont="1" applyFill="1" applyBorder="1" applyAlignment="1">
      <alignment horizontal="right"/>
    </xf>
    <xf numFmtId="2" fontId="16" fillId="0" borderId="9" xfId="2" applyNumberFormat="1" applyFont="1" applyFill="1" applyBorder="1" applyAlignment="1">
      <alignment horizontal="right" vertical="top"/>
    </xf>
    <xf numFmtId="0" fontId="29" fillId="0" borderId="0" xfId="5" applyFont="1" applyAlignment="1">
      <alignment horizontal="center" vertical="center" wrapText="1"/>
    </xf>
    <xf numFmtId="0" fontId="33" fillId="0" borderId="0" xfId="0" applyNumberFormat="1" applyFont="1" applyBorder="1" applyAlignment="1">
      <alignment horizontal="center" vertical="center"/>
    </xf>
    <xf numFmtId="0" fontId="29" fillId="0" borderId="0" xfId="6" applyFont="1" applyAlignment="1">
      <alignment horizontal="center" vertical="center" wrapText="1"/>
    </xf>
    <xf numFmtId="0" fontId="36" fillId="0" borderId="0" xfId="6" applyFont="1" applyAlignment="1">
      <alignment wrapText="1"/>
    </xf>
    <xf numFmtId="0" fontId="36" fillId="0" borderId="0" xfId="6" applyFont="1" applyAlignment="1">
      <alignment vertical="top" wrapText="1"/>
    </xf>
    <xf numFmtId="0" fontId="36" fillId="0" borderId="0" xfId="6" applyFont="1" applyAlignment="1">
      <alignment vertical="center" wrapText="1"/>
    </xf>
    <xf numFmtId="167" fontId="36" fillId="0" borderId="0" xfId="6" applyNumberFormat="1" applyFont="1" applyAlignment="1">
      <alignment horizontal="left" vertical="center" wrapText="1"/>
    </xf>
    <xf numFmtId="49" fontId="36" fillId="0" borderId="0" xfId="6" applyNumberFormat="1" applyFont="1" applyAlignment="1">
      <alignment vertical="center" wrapText="1"/>
    </xf>
    <xf numFmtId="0" fontId="36" fillId="0" borderId="0" xfId="6" applyFont="1" applyAlignment="1">
      <alignment horizontal="center" vertical="center" wrapText="1"/>
    </xf>
    <xf numFmtId="170" fontId="36" fillId="0" borderId="0" xfId="4" applyNumberFormat="1" applyFont="1" applyFill="1" applyBorder="1" applyAlignment="1">
      <alignment horizontal="center" vertical="center" wrapText="1"/>
    </xf>
    <xf numFmtId="167" fontId="29" fillId="0" borderId="0" xfId="6" applyNumberFormat="1" applyFont="1" applyAlignment="1">
      <alignment horizontal="left" vertical="center" wrapText="1"/>
    </xf>
    <xf numFmtId="49" fontId="37" fillId="0" borderId="0" xfId="6" applyNumberFormat="1" applyFont="1" applyFill="1" applyBorder="1" applyAlignment="1">
      <alignment vertical="center" wrapText="1"/>
    </xf>
    <xf numFmtId="49" fontId="36" fillId="0" borderId="0" xfId="6" applyNumberFormat="1" applyFont="1" applyFill="1" applyBorder="1" applyAlignment="1">
      <alignment vertical="center" wrapText="1"/>
    </xf>
    <xf numFmtId="10" fontId="36" fillId="0" borderId="0" xfId="6" applyNumberFormat="1" applyFont="1" applyAlignment="1">
      <alignment vertical="center" wrapText="1"/>
    </xf>
    <xf numFmtId="39" fontId="36" fillId="0" borderId="0" xfId="6" applyNumberFormat="1" applyFont="1" applyAlignment="1">
      <alignment horizontal="center" vertical="center" wrapText="1"/>
    </xf>
    <xf numFmtId="10" fontId="36" fillId="0" borderId="0" xfId="6" applyNumberFormat="1" applyFont="1" applyAlignment="1">
      <alignment horizontal="center" vertical="center" wrapText="1"/>
    </xf>
    <xf numFmtId="0" fontId="36" fillId="0" borderId="0" xfId="0" applyNumberFormat="1" applyFont="1" applyBorder="1" applyAlignment="1">
      <alignment horizontal="left" vertical="center"/>
    </xf>
    <xf numFmtId="0" fontId="39" fillId="2" borderId="2" xfId="6" applyFont="1" applyFill="1" applyBorder="1" applyAlignment="1">
      <alignment horizontal="center" vertical="center" wrapText="1"/>
    </xf>
    <xf numFmtId="10" fontId="39" fillId="2" borderId="2" xfId="1" applyNumberFormat="1" applyFont="1" applyFill="1" applyBorder="1" applyAlignment="1">
      <alignment horizontal="center" wrapText="1"/>
    </xf>
    <xf numFmtId="39" fontId="38" fillId="2" borderId="3" xfId="6" applyNumberFormat="1" applyFont="1" applyFill="1" applyBorder="1" applyAlignment="1">
      <alignment horizontal="center" vertical="top" wrapText="1"/>
    </xf>
    <xf numFmtId="10" fontId="38" fillId="10" borderId="2" xfId="1" applyNumberFormat="1" applyFont="1" applyFill="1" applyBorder="1" applyAlignment="1">
      <alignment horizontal="center" wrapText="1"/>
    </xf>
    <xf numFmtId="39" fontId="39" fillId="10" borderId="3" xfId="6" applyNumberFormat="1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/>
    <xf numFmtId="2" fontId="2" fillId="3" borderId="1" xfId="0" applyNumberFormat="1" applyFont="1" applyFill="1" applyBorder="1" applyAlignment="1"/>
    <xf numFmtId="0" fontId="36" fillId="0" borderId="0" xfId="0" applyNumberFormat="1" applyFont="1" applyBorder="1" applyAlignment="1">
      <alignment horizontal="left" vertical="center"/>
    </xf>
    <xf numFmtId="2" fontId="3" fillId="0" borderId="22" xfId="0" applyNumberFormat="1" applyFont="1" applyFill="1" applyBorder="1" applyAlignment="1">
      <alignment horizontal="right"/>
    </xf>
    <xf numFmtId="165" fontId="3" fillId="0" borderId="0" xfId="0" applyFont="1" applyFill="1"/>
    <xf numFmtId="2" fontId="7" fillId="0" borderId="1" xfId="0" applyNumberFormat="1" applyFont="1" applyFill="1" applyBorder="1"/>
    <xf numFmtId="2" fontId="18" fillId="0" borderId="1" xfId="0" applyNumberFormat="1" applyFont="1" applyFill="1" applyBorder="1"/>
    <xf numFmtId="165" fontId="40" fillId="0" borderId="1" xfId="0" applyFont="1" applyFill="1" applyBorder="1"/>
    <xf numFmtId="165" fontId="18" fillId="0" borderId="0" xfId="0" applyFont="1" applyFill="1" applyBorder="1"/>
    <xf numFmtId="165" fontId="41" fillId="0" borderId="0" xfId="0" applyFont="1" applyFill="1" applyBorder="1"/>
    <xf numFmtId="2" fontId="3" fillId="11" borderId="1" xfId="0" applyNumberFormat="1" applyFont="1" applyFill="1" applyBorder="1"/>
    <xf numFmtId="165" fontId="3" fillId="11" borderId="1" xfId="0" applyFont="1" applyFill="1" applyBorder="1" applyAlignment="1">
      <alignment wrapText="1"/>
    </xf>
    <xf numFmtId="0" fontId="3" fillId="11" borderId="1" xfId="0" applyNumberFormat="1" applyFont="1" applyFill="1" applyBorder="1" applyAlignment="1">
      <alignment horizontal="center"/>
    </xf>
    <xf numFmtId="165" fontId="3" fillId="11" borderId="1" xfId="0" applyFont="1" applyFill="1" applyBorder="1" applyAlignment="1">
      <alignment horizontal="center" vertical="center"/>
    </xf>
    <xf numFmtId="164" fontId="16" fillId="0" borderId="23" xfId="2" applyNumberFormat="1" applyFont="1" applyFill="1" applyBorder="1" applyAlignment="1">
      <alignment wrapText="1"/>
    </xf>
    <xf numFmtId="164" fontId="16" fillId="11" borderId="9" xfId="2" applyNumberFormat="1" applyFont="1" applyFill="1" applyBorder="1" applyAlignment="1">
      <alignment wrapText="1"/>
    </xf>
    <xf numFmtId="0" fontId="0" fillId="11" borderId="1" xfId="0" applyNumberFormat="1" applyFill="1" applyBorder="1" applyAlignment="1">
      <alignment horizontal="center"/>
    </xf>
    <xf numFmtId="0" fontId="3" fillId="11" borderId="1" xfId="0" applyNumberFormat="1" applyFont="1" applyFill="1" applyBorder="1"/>
    <xf numFmtId="165" fontId="3" fillId="11" borderId="0" xfId="0" applyFont="1" applyFill="1"/>
    <xf numFmtId="0" fontId="33" fillId="0" borderId="0" xfId="0" applyNumberFormat="1" applyFont="1" applyBorder="1" applyAlignment="1">
      <alignment horizontal="center" vertical="center"/>
    </xf>
    <xf numFmtId="165" fontId="2" fillId="0" borderId="0" xfId="0" applyFont="1" applyAlignment="1">
      <alignment vertical="center"/>
    </xf>
    <xf numFmtId="0" fontId="12" fillId="0" borderId="1" xfId="0" applyNumberFormat="1" applyFont="1" applyFill="1" applyBorder="1" applyAlignment="1">
      <alignment vertical="center"/>
    </xf>
    <xf numFmtId="166" fontId="10" fillId="0" borderId="1" xfId="0" applyNumberFormat="1" applyFont="1" applyBorder="1"/>
    <xf numFmtId="166" fontId="10" fillId="0" borderId="1" xfId="0" applyNumberFormat="1" applyFont="1" applyBorder="1" applyAlignment="1">
      <alignment horizontal="center" vertical="center"/>
    </xf>
    <xf numFmtId="2" fontId="10" fillId="4" borderId="1" xfId="0" applyNumberFormat="1" applyFont="1" applyFill="1" applyBorder="1"/>
    <xf numFmtId="2" fontId="10" fillId="0" borderId="1" xfId="0" applyNumberFormat="1" applyFont="1" applyBorder="1"/>
    <xf numFmtId="0" fontId="33" fillId="0" borderId="0" xfId="0" applyNumberFormat="1" applyFont="1" applyBorder="1" applyAlignment="1">
      <alignment horizontal="center" vertical="center"/>
    </xf>
    <xf numFmtId="0" fontId="35" fillId="0" borderId="0" xfId="0" applyNumberFormat="1" applyFont="1" applyBorder="1" applyAlignment="1">
      <alignment horizontal="left" vertical="center"/>
    </xf>
    <xf numFmtId="0" fontId="8" fillId="0" borderId="0" xfId="0" applyNumberFormat="1" applyFont="1"/>
    <xf numFmtId="43" fontId="8" fillId="0" borderId="1" xfId="4" applyFont="1" applyBorder="1"/>
    <xf numFmtId="165" fontId="3" fillId="0" borderId="2" xfId="0" applyFont="1" applyFill="1" applyBorder="1" applyAlignment="1">
      <alignment horizontal="center"/>
    </xf>
    <xf numFmtId="0" fontId="7" fillId="0" borderId="2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/>
    <xf numFmtId="43" fontId="7" fillId="0" borderId="1" xfId="4" applyFont="1" applyBorder="1"/>
    <xf numFmtId="0" fontId="43" fillId="0" borderId="1" xfId="0" applyNumberFormat="1" applyFont="1" applyBorder="1"/>
    <xf numFmtId="171" fontId="39" fillId="0" borderId="1" xfId="4" applyNumberFormat="1" applyFont="1" applyBorder="1"/>
    <xf numFmtId="171" fontId="39" fillId="0" borderId="1" xfId="4" applyNumberFormat="1" applyFont="1" applyBorder="1" applyAlignment="1">
      <alignment horizontal="center"/>
    </xf>
    <xf numFmtId="0" fontId="7" fillId="0" borderId="0" xfId="0" applyNumberFormat="1" applyFont="1"/>
    <xf numFmtId="10" fontId="7" fillId="0" borderId="0" xfId="0" applyNumberFormat="1" applyFont="1"/>
    <xf numFmtId="171" fontId="43" fillId="0" borderId="1" xfId="4" applyNumberFormat="1" applyFont="1" applyBorder="1"/>
    <xf numFmtId="171" fontId="43" fillId="0" borderId="1" xfId="4" applyNumberFormat="1" applyFont="1" applyBorder="1" applyAlignment="1">
      <alignment horizontal="center"/>
    </xf>
    <xf numFmtId="0" fontId="43" fillId="0" borderId="1" xfId="0" applyNumberFormat="1" applyFont="1" applyBorder="1" applyAlignment="1">
      <alignment horizontal="center"/>
    </xf>
    <xf numFmtId="165" fontId="10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164" fontId="10" fillId="0" borderId="1" xfId="2" applyNumberFormat="1" applyFont="1" applyFill="1" applyBorder="1" applyAlignment="1">
      <alignment wrapText="1"/>
    </xf>
    <xf numFmtId="2" fontId="3" fillId="11" borderId="3" xfId="0" applyNumberFormat="1" applyFont="1" applyFill="1" applyBorder="1"/>
    <xf numFmtId="165" fontId="42" fillId="0" borderId="0" xfId="0" applyFont="1" applyFill="1"/>
    <xf numFmtId="166" fontId="10" fillId="0" borderId="2" xfId="0" applyNumberFormat="1" applyFont="1" applyFill="1" applyBorder="1" applyAlignment="1">
      <alignment horizontal="left"/>
    </xf>
    <xf numFmtId="166" fontId="10" fillId="0" borderId="1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/>
    </xf>
    <xf numFmtId="165" fontId="16" fillId="0" borderId="2" xfId="0" applyFont="1" applyFill="1" applyBorder="1" applyAlignment="1">
      <alignment wrapText="1"/>
    </xf>
    <xf numFmtId="165" fontId="16" fillId="0" borderId="2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/>
    </xf>
    <xf numFmtId="165" fontId="3" fillId="0" borderId="3" xfId="0" applyFont="1" applyFill="1" applyBorder="1" applyAlignment="1">
      <alignment horizontal="center" vertical="center"/>
    </xf>
    <xf numFmtId="4" fontId="38" fillId="3" borderId="3" xfId="1" applyNumberFormat="1" applyFont="1" applyFill="1" applyBorder="1" applyAlignment="1">
      <alignment vertical="center" wrapText="1"/>
    </xf>
    <xf numFmtId="10" fontId="38" fillId="3" borderId="2" xfId="1" applyNumberFormat="1" applyFont="1" applyFill="1" applyBorder="1" applyAlignment="1">
      <alignment horizontal="center" vertical="center" wrapText="1"/>
    </xf>
    <xf numFmtId="39" fontId="36" fillId="0" borderId="0" xfId="6" applyNumberFormat="1" applyFont="1" applyFill="1" applyBorder="1" applyAlignment="1">
      <alignment horizontal="center" vertical="top" wrapText="1"/>
    </xf>
    <xf numFmtId="10" fontId="36" fillId="0" borderId="0" xfId="1" applyNumberFormat="1" applyFont="1" applyFill="1" applyBorder="1" applyAlignment="1">
      <alignment horizontal="center" wrapText="1"/>
    </xf>
    <xf numFmtId="169" fontId="39" fillId="2" borderId="3" xfId="0" applyNumberFormat="1" applyFont="1" applyFill="1" applyBorder="1" applyAlignment="1">
      <alignment vertical="center" wrapText="1"/>
    </xf>
    <xf numFmtId="10" fontId="38" fillId="2" borderId="2" xfId="1" applyNumberFormat="1" applyFont="1" applyFill="1" applyBorder="1" applyAlignment="1">
      <alignment horizontal="center" vertical="center" wrapText="1"/>
    </xf>
    <xf numFmtId="10" fontId="38" fillId="4" borderId="2" xfId="1" applyNumberFormat="1" applyFont="1" applyFill="1" applyBorder="1" applyAlignment="1">
      <alignment horizontal="center" wrapText="1"/>
    </xf>
    <xf numFmtId="39" fontId="39" fillId="4" borderId="3" xfId="6" applyNumberFormat="1" applyFont="1" applyFill="1" applyBorder="1" applyAlignment="1">
      <alignment horizontal="center" vertical="top" wrapText="1"/>
    </xf>
    <xf numFmtId="0" fontId="36" fillId="0" borderId="0" xfId="6" applyNumberFormat="1" applyFont="1" applyAlignment="1">
      <alignment horizontal="center" vertical="center" wrapText="1"/>
    </xf>
    <xf numFmtId="0" fontId="36" fillId="0" borderId="0" xfId="1" applyNumberFormat="1" applyFont="1" applyAlignment="1">
      <alignment vertical="center" wrapText="1"/>
    </xf>
    <xf numFmtId="4" fontId="38" fillId="3" borderId="22" xfId="1" applyNumberFormat="1" applyFont="1" applyFill="1" applyBorder="1" applyAlignment="1">
      <alignment vertical="center" wrapText="1"/>
    </xf>
    <xf numFmtId="167" fontId="36" fillId="0" borderId="0" xfId="6" applyNumberFormat="1" applyFont="1" applyAlignment="1">
      <alignment horizontal="center" vertical="center" wrapText="1"/>
    </xf>
    <xf numFmtId="167" fontId="36" fillId="0" borderId="0" xfId="6" applyNumberFormat="1" applyFont="1" applyBorder="1" applyAlignment="1">
      <alignment horizontal="left" vertical="center" wrapText="1"/>
    </xf>
    <xf numFmtId="49" fontId="36" fillId="0" borderId="0" xfId="6" applyNumberFormat="1" applyFont="1" applyBorder="1" applyAlignment="1">
      <alignment vertical="center" wrapText="1"/>
    </xf>
    <xf numFmtId="0" fontId="36" fillId="0" borderId="0" xfId="6" applyFont="1" applyBorder="1" applyAlignment="1">
      <alignment horizontal="center" vertical="center" wrapText="1"/>
    </xf>
    <xf numFmtId="49" fontId="29" fillId="0" borderId="0" xfId="6" applyNumberFormat="1" applyFont="1" applyFill="1" applyBorder="1" applyAlignment="1">
      <alignment horizontal="left" vertical="center" wrapText="1"/>
    </xf>
    <xf numFmtId="10" fontId="36" fillId="0" borderId="0" xfId="1" applyNumberFormat="1" applyFont="1" applyAlignment="1">
      <alignment vertical="top" wrapText="1"/>
    </xf>
    <xf numFmtId="166" fontId="10" fillId="0" borderId="1" xfId="0" applyNumberFormat="1" applyFont="1" applyFill="1" applyBorder="1"/>
    <xf numFmtId="172" fontId="3" fillId="0" borderId="1" xfId="0" applyNumberFormat="1" applyFont="1" applyFill="1" applyBorder="1" applyAlignment="1">
      <alignment horizontal="center"/>
    </xf>
    <xf numFmtId="172" fontId="10" fillId="0" borderId="3" xfId="0" applyNumberFormat="1" applyFont="1" applyFill="1" applyBorder="1" applyAlignment="1">
      <alignment horizontal="center"/>
    </xf>
    <xf numFmtId="172" fontId="2" fillId="0" borderId="0" xfId="0" applyNumberFormat="1" applyFont="1" applyFill="1" applyBorder="1" applyAlignment="1">
      <alignment horizontal="center"/>
    </xf>
    <xf numFmtId="172" fontId="3" fillId="0" borderId="0" xfId="0" applyNumberFormat="1" applyFont="1" applyFill="1" applyBorder="1"/>
    <xf numFmtId="172" fontId="2" fillId="0" borderId="0" xfId="0" applyNumberFormat="1" applyFont="1" applyFill="1" applyBorder="1"/>
    <xf numFmtId="172" fontId="12" fillId="0" borderId="0" xfId="0" applyNumberFormat="1" applyFont="1" applyFill="1" applyBorder="1"/>
    <xf numFmtId="172" fontId="12" fillId="0" borderId="0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172" fontId="2" fillId="0" borderId="1" xfId="7" applyNumberFormat="1" applyFont="1" applyFill="1" applyBorder="1" applyAlignment="1">
      <alignment horizontal="center"/>
    </xf>
    <xf numFmtId="0" fontId="10" fillId="0" borderId="4" xfId="0" applyNumberFormat="1" applyFont="1" applyFill="1" applyBorder="1" applyAlignment="1">
      <alignment horizontal="center"/>
    </xf>
    <xf numFmtId="1" fontId="40" fillId="0" borderId="0" xfId="0" applyNumberFormat="1" applyFont="1" applyFill="1" applyBorder="1" applyAlignment="1">
      <alignment horizontal="left"/>
    </xf>
    <xf numFmtId="1" fontId="16" fillId="0" borderId="1" xfId="0" applyNumberFormat="1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 wrapText="1"/>
    </xf>
    <xf numFmtId="1" fontId="15" fillId="0" borderId="0" xfId="0" applyNumberFormat="1" applyFont="1" applyFill="1" applyBorder="1" applyAlignment="1">
      <alignment horizontal="left"/>
    </xf>
    <xf numFmtId="166" fontId="3" fillId="0" borderId="0" xfId="0" applyNumberFormat="1" applyFont="1" applyFill="1" applyBorder="1"/>
    <xf numFmtId="166" fontId="3" fillId="0" borderId="0" xfId="0" applyNumberFormat="1" applyFont="1" applyFill="1" applyBorder="1" applyAlignment="1">
      <alignment wrapText="1"/>
    </xf>
    <xf numFmtId="166" fontId="3" fillId="0" borderId="0" xfId="0" applyNumberFormat="1" applyFont="1" applyFill="1" applyBorder="1" applyAlignment="1">
      <alignment horizontal="left" wrapText="1"/>
    </xf>
    <xf numFmtId="1" fontId="10" fillId="0" borderId="0" xfId="0" applyNumberFormat="1" applyFont="1" applyFill="1" applyBorder="1" applyAlignment="1">
      <alignment horizontal="left"/>
    </xf>
    <xf numFmtId="166" fontId="18" fillId="0" borderId="0" xfId="0" applyNumberFormat="1" applyFont="1" applyFill="1" applyBorder="1"/>
    <xf numFmtId="166" fontId="18" fillId="0" borderId="0" xfId="0" applyNumberFormat="1" applyFont="1" applyFill="1" applyBorder="1" applyAlignment="1">
      <alignment wrapText="1"/>
    </xf>
    <xf numFmtId="166" fontId="18" fillId="0" borderId="0" xfId="0" applyNumberFormat="1" applyFont="1" applyFill="1" applyBorder="1" applyAlignment="1">
      <alignment horizontal="left" wrapText="1"/>
    </xf>
    <xf numFmtId="172" fontId="18" fillId="0" borderId="0" xfId="0" applyNumberFormat="1" applyFont="1" applyFill="1" applyBorder="1"/>
    <xf numFmtId="165" fontId="10" fillId="0" borderId="3" xfId="0" applyFont="1" applyFill="1" applyBorder="1" applyAlignment="1">
      <alignment horizontal="center"/>
    </xf>
    <xf numFmtId="166" fontId="10" fillId="0" borderId="3" xfId="0" applyNumberFormat="1" applyFont="1" applyFill="1" applyBorder="1"/>
    <xf numFmtId="2" fontId="10" fillId="0" borderId="3" xfId="0" applyNumberFormat="1" applyFont="1" applyFill="1" applyBorder="1"/>
    <xf numFmtId="166" fontId="10" fillId="0" borderId="0" xfId="0" applyNumberFormat="1" applyFont="1" applyFill="1" applyBorder="1"/>
    <xf numFmtId="172" fontId="15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172" fontId="15" fillId="0" borderId="0" xfId="0" applyNumberFormat="1" applyFont="1" applyFill="1" applyBorder="1" applyAlignment="1"/>
    <xf numFmtId="172" fontId="3" fillId="0" borderId="0" xfId="0" applyNumberFormat="1" applyFont="1" applyFill="1" applyBorder="1" applyAlignment="1">
      <alignment wrapText="1"/>
    </xf>
    <xf numFmtId="172" fontId="16" fillId="0" borderId="0" xfId="0" applyNumberFormat="1" applyFont="1" applyFill="1" applyBorder="1" applyAlignment="1">
      <alignment horizontal="center" wrapText="1"/>
    </xf>
    <xf numFmtId="172" fontId="3" fillId="0" borderId="1" xfId="7" applyNumberFormat="1" applyFont="1" applyFill="1" applyBorder="1" applyAlignment="1"/>
    <xf numFmtId="172" fontId="3" fillId="0" borderId="0" xfId="0" applyNumberFormat="1" applyFont="1" applyFill="1" applyBorder="1" applyAlignment="1">
      <alignment horizontal="center"/>
    </xf>
    <xf numFmtId="165" fontId="10" fillId="0" borderId="0" xfId="0" applyFont="1" applyFill="1" applyBorder="1" applyAlignment="1">
      <alignment wrapText="1"/>
    </xf>
    <xf numFmtId="165" fontId="12" fillId="0" borderId="0" xfId="0" applyFont="1" applyFill="1" applyBorder="1"/>
    <xf numFmtId="166" fontId="16" fillId="0" borderId="0" xfId="2" applyNumberFormat="1" applyFont="1" applyFill="1" applyBorder="1" applyAlignment="1"/>
    <xf numFmtId="0" fontId="10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72" fontId="10" fillId="0" borderId="0" xfId="0" applyNumberFormat="1" applyFont="1" applyFill="1" applyBorder="1" applyAlignment="1">
      <alignment horizontal="center"/>
    </xf>
    <xf numFmtId="172" fontId="2" fillId="0" borderId="0" xfId="7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165" fontId="12" fillId="0" borderId="0" xfId="0" applyFont="1" applyFill="1" applyBorder="1" applyAlignment="1"/>
    <xf numFmtId="166" fontId="10" fillId="0" borderId="0" xfId="0" applyNumberFormat="1" applyFont="1" applyFill="1" applyBorder="1" applyAlignment="1">
      <alignment wrapText="1"/>
    </xf>
    <xf numFmtId="1" fontId="10" fillId="0" borderId="0" xfId="0" applyNumberFormat="1" applyFont="1" applyFill="1" applyBorder="1" applyAlignment="1">
      <alignment horizontal="center" wrapText="1"/>
    </xf>
    <xf numFmtId="165" fontId="10" fillId="0" borderId="0" xfId="0" applyFont="1" applyFill="1" applyBorder="1" applyAlignment="1">
      <alignment horizontal="center"/>
    </xf>
    <xf numFmtId="1" fontId="16" fillId="0" borderId="0" xfId="0" applyNumberFormat="1" applyFont="1" applyFill="1" applyBorder="1" applyAlignment="1">
      <alignment horizontal="center"/>
    </xf>
    <xf numFmtId="165" fontId="15" fillId="0" borderId="0" xfId="0" applyFont="1" applyFill="1" applyBorder="1" applyAlignment="1"/>
    <xf numFmtId="165" fontId="42" fillId="0" borderId="0" xfId="0" applyFont="1" applyFill="1" applyBorder="1"/>
    <xf numFmtId="165" fontId="2" fillId="0" borderId="0" xfId="0" applyFont="1" applyFill="1" applyBorder="1"/>
    <xf numFmtId="165" fontId="15" fillId="6" borderId="25" xfId="3" applyNumberFormat="1" applyFont="1" applyFill="1" applyBorder="1" applyAlignment="1"/>
    <xf numFmtId="43" fontId="10" fillId="0" borderId="1" xfId="4" applyFont="1" applyFill="1" applyBorder="1" applyAlignment="1">
      <alignment horizontal="left"/>
    </xf>
    <xf numFmtId="43" fontId="10" fillId="0" borderId="4" xfId="4" applyFont="1" applyFill="1" applyBorder="1" applyAlignment="1">
      <alignment horizontal="left"/>
    </xf>
    <xf numFmtId="2" fontId="10" fillId="0" borderId="4" xfId="0" applyNumberFormat="1" applyFont="1" applyFill="1" applyBorder="1"/>
    <xf numFmtId="0" fontId="10" fillId="0" borderId="15" xfId="0" applyNumberFormat="1" applyFont="1" applyFill="1" applyBorder="1"/>
    <xf numFmtId="0" fontId="28" fillId="0" borderId="0" xfId="0" applyNumberFormat="1" applyFont="1" applyFill="1" applyBorder="1"/>
    <xf numFmtId="43" fontId="3" fillId="0" borderId="4" xfId="4" applyFont="1" applyFill="1" applyBorder="1" applyAlignment="1">
      <alignment horizontal="left"/>
    </xf>
    <xf numFmtId="0" fontId="12" fillId="0" borderId="1" xfId="0" applyNumberFormat="1" applyFont="1" applyFill="1" applyBorder="1"/>
    <xf numFmtId="165" fontId="1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>
      <alignment horizontal="right"/>
    </xf>
    <xf numFmtId="166" fontId="10" fillId="0" borderId="2" xfId="0" applyNumberFormat="1" applyFont="1" applyFill="1" applyBorder="1" applyAlignment="1">
      <alignment horizontal="left" wrapText="1"/>
    </xf>
    <xf numFmtId="0" fontId="13" fillId="0" borderId="0" xfId="0" applyNumberFormat="1" applyFont="1" applyFill="1"/>
    <xf numFmtId="0" fontId="1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/>
    </xf>
    <xf numFmtId="2" fontId="10" fillId="0" borderId="22" xfId="0" applyNumberFormat="1" applyFont="1" applyFill="1" applyBorder="1" applyAlignment="1">
      <alignment horizontal="right"/>
    </xf>
    <xf numFmtId="165" fontId="12" fillId="0" borderId="1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right"/>
    </xf>
    <xf numFmtId="0" fontId="10" fillId="0" borderId="1" xfId="0" applyNumberFormat="1" applyFont="1" applyFill="1" applyBorder="1"/>
    <xf numFmtId="0" fontId="12" fillId="0" borderId="1" xfId="0" applyNumberFormat="1" applyFont="1" applyBorder="1"/>
    <xf numFmtId="0" fontId="13" fillId="0" borderId="0" xfId="0" applyNumberFormat="1" applyFont="1"/>
    <xf numFmtId="0" fontId="3" fillId="0" borderId="1" xfId="0" applyNumberFormat="1" applyFont="1" applyFill="1" applyBorder="1" applyAlignment="1">
      <alignment wrapText="1"/>
    </xf>
    <xf numFmtId="0" fontId="16" fillId="0" borderId="1" xfId="0" applyNumberFormat="1" applyFont="1" applyFill="1" applyBorder="1" applyAlignment="1">
      <alignment horizontal="center" wrapText="1"/>
    </xf>
    <xf numFmtId="0" fontId="16" fillId="0" borderId="1" xfId="0" applyNumberFormat="1" applyFont="1" applyFill="1" applyBorder="1" applyAlignment="1">
      <alignment wrapText="1"/>
    </xf>
    <xf numFmtId="0" fontId="23" fillId="0" borderId="1" xfId="0" applyNumberFormat="1" applyFont="1" applyFill="1" applyBorder="1" applyAlignment="1">
      <alignment horizontal="center" wrapText="1"/>
    </xf>
    <xf numFmtId="0" fontId="23" fillId="0" borderId="1" xfId="0" applyNumberFormat="1" applyFont="1" applyFill="1" applyBorder="1" applyAlignment="1">
      <alignment wrapText="1"/>
    </xf>
    <xf numFmtId="0" fontId="7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/>
    <xf numFmtId="0" fontId="43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/>
    <xf numFmtId="0" fontId="16" fillId="0" borderId="1" xfId="0" applyNumberFormat="1" applyFont="1" applyFill="1" applyBorder="1" applyAlignment="1"/>
    <xf numFmtId="166" fontId="3" fillId="0" borderId="2" xfId="0" applyNumberFormat="1" applyFont="1" applyFill="1" applyBorder="1" applyAlignment="1">
      <alignment horizontal="left" wrapText="1"/>
    </xf>
    <xf numFmtId="164" fontId="10" fillId="0" borderId="9" xfId="2" applyNumberFormat="1" applyFont="1" applyFill="1" applyBorder="1" applyAlignment="1">
      <alignment wrapText="1"/>
    </xf>
    <xf numFmtId="166" fontId="10" fillId="0" borderId="3" xfId="0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wrapText="1"/>
    </xf>
    <xf numFmtId="164" fontId="16" fillId="0" borderId="0" xfId="2" applyNumberFormat="1" applyFont="1" applyFill="1" applyBorder="1" applyAlignment="1">
      <alignment wrapText="1"/>
    </xf>
    <xf numFmtId="165" fontId="0" fillId="0" borderId="0" xfId="0" applyFont="1" applyBorder="1" applyAlignment="1">
      <alignment wrapText="1"/>
    </xf>
    <xf numFmtId="165" fontId="0" fillId="0" borderId="0" xfId="0" applyBorder="1" applyAlignment="1">
      <alignment wrapText="1"/>
    </xf>
    <xf numFmtId="165" fontId="19" fillId="2" borderId="4" xfId="0" applyFont="1" applyFill="1" applyBorder="1" applyAlignment="1">
      <alignment horizontal="left"/>
    </xf>
    <xf numFmtId="165" fontId="19" fillId="2" borderId="6" xfId="0" applyFont="1" applyFill="1" applyBorder="1" applyAlignment="1">
      <alignment horizontal="left"/>
    </xf>
    <xf numFmtId="165" fontId="19" fillId="2" borderId="5" xfId="0" applyFont="1" applyFill="1" applyBorder="1" applyAlignment="1">
      <alignment horizontal="left"/>
    </xf>
    <xf numFmtId="0" fontId="2" fillId="0" borderId="7" xfId="0" applyNumberFormat="1" applyFont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0" fontId="2" fillId="3" borderId="4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3" borderId="5" xfId="0" applyNumberFormat="1" applyFont="1" applyFill="1" applyBorder="1" applyAlignment="1">
      <alignment horizontal="left"/>
    </xf>
    <xf numFmtId="165" fontId="2" fillId="0" borderId="7" xfId="0" applyFont="1" applyBorder="1" applyAlignment="1">
      <alignment horizontal="left"/>
    </xf>
    <xf numFmtId="165" fontId="2" fillId="0" borderId="13" xfId="0" applyFont="1" applyBorder="1" applyAlignment="1">
      <alignment horizontal="left"/>
    </xf>
    <xf numFmtId="165" fontId="2" fillId="0" borderId="14" xfId="0" applyFont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left"/>
    </xf>
    <xf numFmtId="165" fontId="2" fillId="0" borderId="4" xfId="0" applyFont="1" applyBorder="1" applyAlignment="1">
      <alignment horizontal="left"/>
    </xf>
    <xf numFmtId="165" fontId="2" fillId="0" borderId="6" xfId="0" applyFont="1" applyBorder="1" applyAlignment="1">
      <alignment horizontal="left"/>
    </xf>
    <xf numFmtId="165" fontId="0" fillId="4" borderId="6" xfId="0" applyFill="1" applyBorder="1" applyAlignment="1">
      <alignment horizontal="center"/>
    </xf>
    <xf numFmtId="165" fontId="0" fillId="4" borderId="5" xfId="0" applyFill="1" applyBorder="1" applyAlignment="1">
      <alignment horizontal="center"/>
    </xf>
    <xf numFmtId="0" fontId="2" fillId="3" borderId="4" xfId="0" applyNumberFormat="1" applyFont="1" applyFill="1" applyBorder="1" applyAlignment="1"/>
    <xf numFmtId="0" fontId="2" fillId="3" borderId="6" xfId="0" applyNumberFormat="1" applyFont="1" applyFill="1" applyBorder="1" applyAlignment="1"/>
    <xf numFmtId="0" fontId="2" fillId="3" borderId="5" xfId="0" applyNumberFormat="1" applyFont="1" applyFill="1" applyBorder="1" applyAlignment="1"/>
    <xf numFmtId="2" fontId="16" fillId="0" borderId="2" xfId="0" applyNumberFormat="1" applyFont="1" applyFill="1" applyBorder="1" applyAlignment="1">
      <alignment horizontal="center" vertical="top"/>
    </xf>
    <xf numFmtId="2" fontId="16" fillId="0" borderId="22" xfId="0" applyNumberFormat="1" applyFont="1" applyFill="1" applyBorder="1" applyAlignment="1">
      <alignment horizontal="center" vertical="top"/>
    </xf>
    <xf numFmtId="2" fontId="16" fillId="0" borderId="3" xfId="0" applyNumberFormat="1" applyFont="1" applyFill="1" applyBorder="1" applyAlignment="1">
      <alignment horizontal="center" vertical="top"/>
    </xf>
    <xf numFmtId="2" fontId="3" fillId="0" borderId="2" xfId="0" applyNumberFormat="1" applyFont="1" applyFill="1" applyBorder="1" applyAlignment="1">
      <alignment horizontal="center" vertical="top"/>
    </xf>
    <xf numFmtId="2" fontId="3" fillId="0" borderId="22" xfId="0" applyNumberFormat="1" applyFont="1" applyFill="1" applyBorder="1" applyAlignment="1">
      <alignment horizontal="center" vertical="top"/>
    </xf>
    <xf numFmtId="2" fontId="3" fillId="0" borderId="3" xfId="0" applyNumberFormat="1" applyFont="1" applyFill="1" applyBorder="1" applyAlignment="1">
      <alignment horizontal="center" vertical="top"/>
    </xf>
    <xf numFmtId="165" fontId="2" fillId="2" borderId="2" xfId="0" applyFont="1" applyFill="1" applyBorder="1" applyAlignment="1">
      <alignment horizontal="center" vertical="center"/>
    </xf>
    <xf numFmtId="165" fontId="2" fillId="2" borderId="3" xfId="0" applyFont="1" applyFill="1" applyBorder="1" applyAlignment="1">
      <alignment horizontal="center" vertical="center"/>
    </xf>
    <xf numFmtId="165" fontId="2" fillId="0" borderId="5" xfId="0" applyFont="1" applyBorder="1" applyAlignment="1">
      <alignment horizontal="left"/>
    </xf>
    <xf numFmtId="165" fontId="2" fillId="0" borderId="4" xfId="0" applyFont="1" applyFill="1" applyBorder="1" applyAlignment="1">
      <alignment horizontal="left"/>
    </xf>
    <xf numFmtId="165" fontId="2" fillId="0" borderId="6" xfId="0" applyFont="1" applyFill="1" applyBorder="1" applyAlignment="1">
      <alignment horizontal="left"/>
    </xf>
    <xf numFmtId="165" fontId="2" fillId="0" borderId="5" xfId="0" applyFont="1" applyFill="1" applyBorder="1" applyAlignment="1">
      <alignment horizontal="left"/>
    </xf>
    <xf numFmtId="0" fontId="2" fillId="0" borderId="4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165" fontId="2" fillId="3" borderId="4" xfId="0" applyFont="1" applyFill="1" applyBorder="1" applyAlignment="1"/>
    <xf numFmtId="165" fontId="2" fillId="3" borderId="6" xfId="0" applyFont="1" applyFill="1" applyBorder="1" applyAlignment="1"/>
    <xf numFmtId="165" fontId="2" fillId="3" borderId="5" xfId="0" applyFont="1" applyFill="1" applyBorder="1" applyAlignment="1"/>
    <xf numFmtId="165" fontId="15" fillId="6" borderId="16" xfId="2" applyFont="1" applyFill="1" applyBorder="1" applyAlignment="1">
      <alignment horizontal="left"/>
    </xf>
    <xf numFmtId="165" fontId="15" fillId="6" borderId="13" xfId="2" applyFont="1" applyFill="1" applyBorder="1" applyAlignment="1">
      <alignment horizontal="left"/>
    </xf>
    <xf numFmtId="165" fontId="15" fillId="6" borderId="17" xfId="2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left"/>
    </xf>
    <xf numFmtId="165" fontId="15" fillId="5" borderId="7" xfId="2" applyFont="1" applyFill="1" applyBorder="1" applyAlignment="1">
      <alignment horizontal="left"/>
    </xf>
    <xf numFmtId="165" fontId="15" fillId="5" borderId="13" xfId="2" applyFont="1" applyFill="1" applyBorder="1" applyAlignment="1">
      <alignment horizontal="left"/>
    </xf>
    <xf numFmtId="165" fontId="15" fillId="5" borderId="14" xfId="2" applyFont="1" applyFill="1" applyBorder="1" applyAlignment="1">
      <alignment horizontal="left"/>
    </xf>
    <xf numFmtId="166" fontId="2" fillId="0" borderId="1" xfId="0" applyNumberFormat="1" applyFont="1" applyFill="1" applyBorder="1" applyAlignment="1">
      <alignment horizontal="left"/>
    </xf>
    <xf numFmtId="165" fontId="4" fillId="0" borderId="0" xfId="0" applyFont="1" applyBorder="1" applyAlignment="1">
      <alignment horizontal="center" vertical="center"/>
    </xf>
    <xf numFmtId="165" fontId="3" fillId="0" borderId="0" xfId="0" applyFont="1" applyAlignment="1">
      <alignment horizontal="left" vertical="center"/>
    </xf>
    <xf numFmtId="165" fontId="2" fillId="3" borderId="3" xfId="0" applyFont="1" applyFill="1" applyBorder="1" applyAlignment="1"/>
    <xf numFmtId="165" fontId="0" fillId="3" borderId="3" xfId="0" applyFill="1" applyBorder="1" applyAlignment="1"/>
    <xf numFmtId="165" fontId="2" fillId="3" borderId="1" xfId="0" applyFont="1" applyFill="1" applyBorder="1" applyAlignment="1">
      <alignment horizontal="left"/>
    </xf>
    <xf numFmtId="165" fontId="3" fillId="3" borderId="1" xfId="0" applyFont="1" applyFill="1" applyBorder="1" applyAlignment="1">
      <alignment horizontal="left"/>
    </xf>
    <xf numFmtId="0" fontId="2" fillId="3" borderId="1" xfId="0" applyNumberFormat="1" applyFont="1" applyFill="1" applyBorder="1" applyAlignment="1"/>
    <xf numFmtId="0" fontId="0" fillId="3" borderId="1" xfId="0" applyNumberFormat="1" applyFill="1" applyBorder="1" applyAlignment="1"/>
    <xf numFmtId="165" fontId="1" fillId="0" borderId="0" xfId="0" applyFont="1" applyFill="1" applyBorder="1" applyAlignment="1">
      <alignment horizontal="center"/>
    </xf>
    <xf numFmtId="165" fontId="2" fillId="0" borderId="0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165" fontId="2" fillId="2" borderId="4" xfId="0" applyFont="1" applyFill="1" applyBorder="1" applyAlignment="1">
      <alignment horizontal="center" vertical="center" wrapText="1"/>
    </xf>
    <xf numFmtId="165" fontId="2" fillId="2" borderId="5" xfId="0" applyFont="1" applyFill="1" applyBorder="1" applyAlignment="1">
      <alignment horizontal="center" vertical="center" wrapText="1"/>
    </xf>
    <xf numFmtId="165" fontId="2" fillId="2" borderId="4" xfId="0" applyFont="1" applyFill="1" applyBorder="1" applyAlignment="1">
      <alignment horizontal="center" vertical="center"/>
    </xf>
    <xf numFmtId="165" fontId="2" fillId="2" borderId="5" xfId="0" applyFont="1" applyFill="1" applyBorder="1" applyAlignment="1">
      <alignment horizontal="center" vertical="center"/>
    </xf>
    <xf numFmtId="165" fontId="25" fillId="9" borderId="6" xfId="0" applyFont="1" applyFill="1" applyBorder="1" applyAlignment="1">
      <alignment horizontal="center"/>
    </xf>
    <xf numFmtId="165" fontId="25" fillId="9" borderId="5" xfId="0" applyFont="1" applyFill="1" applyBorder="1" applyAlignment="1">
      <alignment horizontal="center"/>
    </xf>
    <xf numFmtId="165" fontId="29" fillId="7" borderId="4" xfId="0" applyFont="1" applyFill="1" applyBorder="1" applyAlignment="1">
      <alignment horizontal="left"/>
    </xf>
    <xf numFmtId="165" fontId="29" fillId="7" borderId="6" xfId="0" applyFont="1" applyFill="1" applyBorder="1" applyAlignment="1">
      <alignment horizontal="left"/>
    </xf>
    <xf numFmtId="165" fontId="29" fillId="7" borderId="5" xfId="0" applyFont="1" applyFill="1" applyBorder="1" applyAlignment="1">
      <alignment horizontal="left"/>
    </xf>
    <xf numFmtId="165" fontId="15" fillId="8" borderId="4" xfId="0" applyFont="1" applyFill="1" applyBorder="1" applyAlignment="1"/>
    <xf numFmtId="165" fontId="15" fillId="8" borderId="6" xfId="0" applyFont="1" applyFill="1" applyBorder="1" applyAlignment="1"/>
    <xf numFmtId="165" fontId="15" fillId="8" borderId="5" xfId="0" applyFont="1" applyFill="1" applyBorder="1" applyAlignment="1"/>
    <xf numFmtId="0" fontId="15" fillId="8" borderId="4" xfId="0" applyNumberFormat="1" applyFont="1" applyFill="1" applyBorder="1" applyAlignment="1"/>
    <xf numFmtId="0" fontId="15" fillId="8" borderId="6" xfId="0" applyNumberFormat="1" applyFont="1" applyFill="1" applyBorder="1" applyAlignment="1"/>
    <xf numFmtId="0" fontId="15" fillId="8" borderId="5" xfId="0" applyNumberFormat="1" applyFont="1" applyFill="1" applyBorder="1" applyAlignment="1"/>
    <xf numFmtId="0" fontId="15" fillId="0" borderId="4" xfId="0" applyNumberFormat="1" applyFont="1" applyBorder="1" applyAlignment="1">
      <alignment horizontal="left"/>
    </xf>
    <xf numFmtId="0" fontId="15" fillId="0" borderId="6" xfId="0" applyNumberFormat="1" applyFont="1" applyBorder="1" applyAlignment="1">
      <alignment horizontal="left"/>
    </xf>
    <xf numFmtId="0" fontId="15" fillId="0" borderId="5" xfId="0" applyNumberFormat="1" applyFont="1" applyBorder="1" applyAlignment="1">
      <alignment horizontal="left"/>
    </xf>
    <xf numFmtId="165" fontId="15" fillId="0" borderId="7" xfId="0" applyFont="1" applyBorder="1" applyAlignment="1">
      <alignment horizontal="left"/>
    </xf>
    <xf numFmtId="165" fontId="15" fillId="0" borderId="13" xfId="0" applyFont="1" applyBorder="1" applyAlignment="1">
      <alignment horizontal="left"/>
    </xf>
    <xf numFmtId="165" fontId="15" fillId="0" borderId="14" xfId="0" applyFont="1" applyBorder="1" applyAlignment="1">
      <alignment horizontal="left"/>
    </xf>
    <xf numFmtId="165" fontId="15" fillId="8" borderId="8" xfId="0" applyFont="1" applyFill="1" applyBorder="1" applyAlignment="1"/>
    <xf numFmtId="165" fontId="15" fillId="8" borderId="18" xfId="0" applyFont="1" applyFill="1" applyBorder="1" applyAlignment="1"/>
    <xf numFmtId="165" fontId="15" fillId="8" borderId="19" xfId="0" applyFont="1" applyFill="1" applyBorder="1" applyAlignment="1"/>
    <xf numFmtId="165" fontId="15" fillId="0" borderId="4" xfId="0" applyFont="1" applyBorder="1" applyAlignment="1">
      <alignment horizontal="left"/>
    </xf>
    <xf numFmtId="165" fontId="15" fillId="0" borderId="6" xfId="0" applyFont="1" applyBorder="1" applyAlignment="1">
      <alignment horizontal="left"/>
    </xf>
    <xf numFmtId="165" fontId="15" fillId="0" borderId="5" xfId="0" applyFont="1" applyBorder="1" applyAlignment="1">
      <alignment horizontal="left"/>
    </xf>
    <xf numFmtId="0" fontId="15" fillId="8" borderId="4" xfId="0" applyNumberFormat="1" applyFont="1" applyFill="1" applyBorder="1" applyAlignment="1">
      <alignment horizontal="left"/>
    </xf>
    <xf numFmtId="0" fontId="15" fillId="8" borderId="6" xfId="0" applyNumberFormat="1" applyFont="1" applyFill="1" applyBorder="1" applyAlignment="1">
      <alignment horizontal="left"/>
    </xf>
    <xf numFmtId="0" fontId="15" fillId="8" borderId="5" xfId="0" applyNumberFormat="1" applyFont="1" applyFill="1" applyBorder="1" applyAlignment="1">
      <alignment horizontal="left"/>
    </xf>
    <xf numFmtId="0" fontId="15" fillId="0" borderId="7" xfId="0" applyNumberFormat="1" applyFont="1" applyBorder="1" applyAlignment="1">
      <alignment horizontal="left"/>
    </xf>
    <xf numFmtId="0" fontId="15" fillId="0" borderId="13" xfId="0" applyNumberFormat="1" applyFont="1" applyBorder="1" applyAlignment="1">
      <alignment horizontal="left"/>
    </xf>
    <xf numFmtId="165" fontId="15" fillId="0" borderId="4" xfId="0" applyFont="1" applyFill="1" applyBorder="1" applyAlignment="1">
      <alignment horizontal="left"/>
    </xf>
    <xf numFmtId="165" fontId="15" fillId="0" borderId="6" xfId="0" applyFont="1" applyFill="1" applyBorder="1" applyAlignment="1">
      <alignment horizontal="left"/>
    </xf>
    <xf numFmtId="165" fontId="15" fillId="0" borderId="5" xfId="0" applyFont="1" applyFill="1" applyBorder="1" applyAlignment="1">
      <alignment horizontal="left"/>
    </xf>
    <xf numFmtId="0" fontId="15" fillId="8" borderId="1" xfId="0" applyNumberFormat="1" applyFont="1" applyFill="1" applyBorder="1" applyAlignment="1"/>
    <xf numFmtId="0" fontId="25" fillId="8" borderId="1" xfId="0" applyNumberFormat="1" applyFont="1" applyFill="1" applyBorder="1" applyAlignment="1"/>
    <xf numFmtId="165" fontId="15" fillId="0" borderId="0" xfId="0" applyFont="1" applyFill="1" applyBorder="1" applyAlignment="1">
      <alignment horizontal="center"/>
    </xf>
    <xf numFmtId="165" fontId="26" fillId="0" borderId="0" xfId="0" applyFont="1" applyFill="1" applyBorder="1" applyAlignment="1">
      <alignment horizontal="center"/>
    </xf>
    <xf numFmtId="165" fontId="15" fillId="8" borderId="1" xfId="0" applyFont="1" applyFill="1" applyBorder="1" applyAlignment="1">
      <alignment horizontal="left"/>
    </xf>
    <xf numFmtId="165" fontId="16" fillId="8" borderId="1" xfId="0" applyFont="1" applyFill="1" applyBorder="1" applyAlignment="1">
      <alignment horizontal="left"/>
    </xf>
    <xf numFmtId="165" fontId="15" fillId="8" borderId="1" xfId="0" applyFont="1" applyFill="1" applyBorder="1" applyAlignment="1"/>
    <xf numFmtId="165" fontId="25" fillId="8" borderId="1" xfId="0" applyFont="1" applyFill="1" applyBorder="1" applyAlignment="1"/>
    <xf numFmtId="0" fontId="15" fillId="0" borderId="4" xfId="0" applyNumberFormat="1" applyFont="1" applyFill="1" applyBorder="1" applyAlignment="1">
      <alignment horizontal="left"/>
    </xf>
    <xf numFmtId="0" fontId="15" fillId="0" borderId="6" xfId="0" applyNumberFormat="1" applyFont="1" applyFill="1" applyBorder="1" applyAlignment="1">
      <alignment horizontal="left"/>
    </xf>
    <xf numFmtId="0" fontId="15" fillId="0" borderId="5" xfId="0" applyNumberFormat="1" applyFont="1" applyFill="1" applyBorder="1" applyAlignment="1">
      <alignment horizontal="left"/>
    </xf>
    <xf numFmtId="165" fontId="24" fillId="0" borderId="0" xfId="0" applyFont="1" applyBorder="1" applyAlignment="1">
      <alignment horizontal="center" vertical="center"/>
    </xf>
    <xf numFmtId="165" fontId="16" fillId="0" borderId="0" xfId="0" applyFont="1" applyBorder="1" applyAlignment="1">
      <alignment horizontal="left" vertical="center"/>
    </xf>
    <xf numFmtId="165" fontId="15" fillId="7" borderId="2" xfId="0" applyFont="1" applyFill="1" applyBorder="1" applyAlignment="1">
      <alignment horizontal="center" vertical="center"/>
    </xf>
    <xf numFmtId="165" fontId="15" fillId="7" borderId="3" xfId="0" applyFont="1" applyFill="1" applyBorder="1" applyAlignment="1">
      <alignment horizontal="center" vertical="center"/>
    </xf>
    <xf numFmtId="2" fontId="15" fillId="7" borderId="2" xfId="0" applyNumberFormat="1" applyFont="1" applyFill="1" applyBorder="1" applyAlignment="1">
      <alignment horizontal="center" vertical="center"/>
    </xf>
    <xf numFmtId="2" fontId="15" fillId="7" borderId="3" xfId="0" applyNumberFormat="1" applyFont="1" applyFill="1" applyBorder="1" applyAlignment="1">
      <alignment horizontal="center" vertical="center"/>
    </xf>
    <xf numFmtId="165" fontId="15" fillId="7" borderId="4" xfId="0" applyFont="1" applyFill="1" applyBorder="1" applyAlignment="1">
      <alignment horizontal="center" vertical="center"/>
    </xf>
    <xf numFmtId="165" fontId="15" fillId="7" borderId="5" xfId="0" applyFont="1" applyFill="1" applyBorder="1" applyAlignment="1">
      <alignment horizontal="center" vertical="center"/>
    </xf>
    <xf numFmtId="165" fontId="15" fillId="7" borderId="4" xfId="0" applyFont="1" applyFill="1" applyBorder="1" applyAlignment="1">
      <alignment horizontal="center" vertical="center" wrapText="1"/>
    </xf>
    <xf numFmtId="165" fontId="15" fillId="7" borderId="5" xfId="0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/>
    </xf>
    <xf numFmtId="165" fontId="2" fillId="0" borderId="10" xfId="0" applyFont="1" applyFill="1" applyBorder="1" applyAlignment="1">
      <alignment horizontal="left"/>
    </xf>
    <xf numFmtId="165" fontId="2" fillId="0" borderId="11" xfId="0" applyFont="1" applyFill="1" applyBorder="1" applyAlignment="1">
      <alignment horizontal="left"/>
    </xf>
    <xf numFmtId="165" fontId="2" fillId="0" borderId="12" xfId="0" applyFont="1" applyFill="1" applyBorder="1" applyAlignment="1">
      <alignment horizontal="left"/>
    </xf>
    <xf numFmtId="165" fontId="2" fillId="3" borderId="1" xfId="0" applyFont="1" applyFill="1" applyBorder="1" applyAlignment="1"/>
    <xf numFmtId="165" fontId="0" fillId="3" borderId="1" xfId="0" applyFill="1" applyBorder="1" applyAlignment="1"/>
    <xf numFmtId="165" fontId="2" fillId="2" borderId="2" xfId="0" applyFont="1" applyFill="1" applyBorder="1" applyAlignment="1">
      <alignment horizontal="center" vertical="center" wrapText="1"/>
    </xf>
    <xf numFmtId="165" fontId="2" fillId="2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/>
    <xf numFmtId="0" fontId="0" fillId="0" borderId="1" xfId="0" applyNumberFormat="1" applyFill="1" applyBorder="1" applyAlignment="1"/>
    <xf numFmtId="0" fontId="12" fillId="0" borderId="4" xfId="0" applyNumberFormat="1" applyFont="1" applyBorder="1" applyAlignment="1">
      <alignment horizontal="left"/>
    </xf>
    <xf numFmtId="0" fontId="12" fillId="0" borderId="6" xfId="0" applyNumberFormat="1" applyFont="1" applyBorder="1" applyAlignment="1">
      <alignment horizontal="left"/>
    </xf>
    <xf numFmtId="167" fontId="38" fillId="2" borderId="1" xfId="6" applyNumberFormat="1" applyFont="1" applyFill="1" applyBorder="1" applyAlignment="1">
      <alignment horizontal="center" vertical="center" wrapText="1"/>
    </xf>
    <xf numFmtId="49" fontId="38" fillId="2" borderId="1" xfId="6" applyNumberFormat="1" applyFont="1" applyFill="1" applyBorder="1" applyAlignment="1">
      <alignment horizontal="center" vertical="center" wrapText="1"/>
    </xf>
    <xf numFmtId="0" fontId="38" fillId="2" borderId="4" xfId="6" applyFont="1" applyFill="1" applyBorder="1" applyAlignment="1">
      <alignment horizontal="center" vertical="center" wrapText="1"/>
    </xf>
    <xf numFmtId="0" fontId="38" fillId="2" borderId="6" xfId="6" applyFont="1" applyFill="1" applyBorder="1" applyAlignment="1">
      <alignment horizontal="center" vertical="center" wrapText="1"/>
    </xf>
    <xf numFmtId="0" fontId="38" fillId="2" borderId="2" xfId="6" applyFont="1" applyFill="1" applyBorder="1" applyAlignment="1">
      <alignment horizontal="center" vertical="center" wrapText="1"/>
    </xf>
    <xf numFmtId="0" fontId="38" fillId="2" borderId="3" xfId="6" applyFont="1" applyFill="1" applyBorder="1" applyAlignment="1">
      <alignment horizontal="center" vertical="center" wrapText="1"/>
    </xf>
    <xf numFmtId="0" fontId="33" fillId="0" borderId="0" xfId="0" applyNumberFormat="1" applyFont="1" applyBorder="1" applyAlignment="1">
      <alignment horizontal="center" vertical="center"/>
    </xf>
    <xf numFmtId="0" fontId="29" fillId="0" borderId="0" xfId="0" applyNumberFormat="1" applyFont="1" applyBorder="1" applyAlignment="1">
      <alignment horizontal="left" vertical="center"/>
    </xf>
    <xf numFmtId="0" fontId="35" fillId="0" borderId="0" xfId="0" applyNumberFormat="1" applyFont="1" applyBorder="1" applyAlignment="1">
      <alignment horizontal="left" vertical="center"/>
    </xf>
    <xf numFmtId="0" fontId="29" fillId="0" borderId="0" xfId="0" applyNumberFormat="1" applyFont="1" applyBorder="1" applyAlignment="1" applyProtection="1">
      <alignment horizontal="left"/>
    </xf>
    <xf numFmtId="0" fontId="36" fillId="0" borderId="0" xfId="0" applyNumberFormat="1" applyFont="1" applyBorder="1" applyAlignment="1">
      <alignment horizontal="left" vertical="center"/>
    </xf>
    <xf numFmtId="168" fontId="38" fillId="0" borderId="1" xfId="6" applyNumberFormat="1" applyFont="1" applyFill="1" applyBorder="1" applyAlignment="1">
      <alignment horizontal="center" vertical="center" wrapText="1"/>
    </xf>
    <xf numFmtId="168" fontId="38" fillId="0" borderId="2" xfId="6" applyNumberFormat="1" applyFont="1" applyFill="1" applyBorder="1" applyAlignment="1">
      <alignment horizontal="center" vertical="center" wrapText="1"/>
    </xf>
    <xf numFmtId="168" fontId="38" fillId="0" borderId="3" xfId="6" applyNumberFormat="1" applyFont="1" applyFill="1" applyBorder="1" applyAlignment="1">
      <alignment horizontal="center" vertical="center" wrapText="1"/>
    </xf>
    <xf numFmtId="49" fontId="38" fillId="0" borderId="7" xfId="6" applyNumberFormat="1" applyFont="1" applyFill="1" applyBorder="1" applyAlignment="1">
      <alignment horizontal="left" vertical="center" wrapText="1"/>
    </xf>
    <xf numFmtId="49" fontId="38" fillId="0" borderId="8" xfId="6" applyNumberFormat="1" applyFont="1" applyFill="1" applyBorder="1" applyAlignment="1">
      <alignment horizontal="left" vertical="center" wrapText="1"/>
    </xf>
    <xf numFmtId="0" fontId="38" fillId="0" borderId="7" xfId="6" applyFont="1" applyBorder="1" applyAlignment="1">
      <alignment horizontal="left" vertical="center" wrapText="1"/>
    </xf>
    <xf numFmtId="0" fontId="38" fillId="0" borderId="8" xfId="6" applyFont="1" applyBorder="1" applyAlignment="1">
      <alignment horizontal="left" vertical="center" wrapText="1"/>
    </xf>
    <xf numFmtId="167" fontId="38" fillId="2" borderId="2" xfId="6" applyNumberFormat="1" applyFont="1" applyFill="1" applyBorder="1" applyAlignment="1">
      <alignment horizontal="center" vertical="center" wrapText="1"/>
    </xf>
    <xf numFmtId="167" fontId="38" fillId="2" borderId="3" xfId="6" applyNumberFormat="1" applyFont="1" applyFill="1" applyBorder="1" applyAlignment="1">
      <alignment horizontal="center" vertical="center" wrapText="1"/>
    </xf>
    <xf numFmtId="49" fontId="38" fillId="2" borderId="4" xfId="6" applyNumberFormat="1" applyFont="1" applyFill="1" applyBorder="1" applyAlignment="1">
      <alignment horizontal="center" vertical="center" wrapText="1"/>
    </xf>
  </cellXfs>
  <cellStyles count="8">
    <cellStyle name="Excel Built-in Comma" xfId="3"/>
    <cellStyle name="Excel Built-in Normal" xfId="2"/>
    <cellStyle name="Normal" xfId="0" builtinId="0"/>
    <cellStyle name="Normal 2" xfId="7"/>
    <cellStyle name="Normal_Calculos" xfId="5"/>
    <cellStyle name="Normal_USP - Calculos" xfId="6"/>
    <cellStyle name="Porcentagem" xfId="1" builtinId="5"/>
    <cellStyle name="Separador de milhares" xfId="4" builtinId="3"/>
  </cellStyles>
  <dxfs count="5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CURVA</a:t>
            </a:r>
            <a:r>
              <a:rPr lang="pt-BR" baseline="0"/>
              <a:t> </a:t>
            </a:r>
            <a:endParaRPr lang="pt-BR"/>
          </a:p>
        </c:rich>
      </c:tx>
      <c:layout/>
    </c:title>
    <c:plotArea>
      <c:layout/>
      <c:lineChart>
        <c:grouping val="standard"/>
        <c:ser>
          <c:idx val="0"/>
          <c:order val="0"/>
          <c:val>
            <c:numRef>
              <c:f>Cronograma!$C$46:$K$46</c:f>
              <c:numCache>
                <c:formatCode>0.00%</c:formatCode>
                <c:ptCount val="9"/>
                <c:pt idx="0">
                  <c:v>4.4600000000000001E-2</c:v>
                </c:pt>
                <c:pt idx="1">
                  <c:v>0.14099999999999999</c:v>
                </c:pt>
                <c:pt idx="2">
                  <c:v>0.24310000000000001</c:v>
                </c:pt>
                <c:pt idx="3">
                  <c:v>0.36330000000000001</c:v>
                </c:pt>
                <c:pt idx="4">
                  <c:v>0.54320000000000002</c:v>
                </c:pt>
                <c:pt idx="5">
                  <c:v>0.70879999999999999</c:v>
                </c:pt>
                <c:pt idx="6">
                  <c:v>0.84009999999999996</c:v>
                </c:pt>
                <c:pt idx="7">
                  <c:v>0.93799999999999994</c:v>
                </c:pt>
                <c:pt idx="8">
                  <c:v>1</c:v>
                </c:pt>
              </c:numCache>
            </c:numRef>
          </c:val>
        </c:ser>
        <c:marker val="1"/>
        <c:axId val="79561472"/>
        <c:axId val="79563008"/>
      </c:lineChart>
      <c:catAx>
        <c:axId val="79561472"/>
        <c:scaling>
          <c:orientation val="minMax"/>
        </c:scaling>
        <c:axPos val="b"/>
        <c:majorTickMark val="none"/>
        <c:tickLblPos val="nextTo"/>
        <c:crossAx val="79563008"/>
        <c:crosses val="autoZero"/>
        <c:auto val="1"/>
        <c:lblAlgn val="ctr"/>
        <c:lblOffset val="100"/>
      </c:catAx>
      <c:valAx>
        <c:axId val="79563008"/>
        <c:scaling>
          <c:orientation val="minMax"/>
        </c:scaling>
        <c:axPos val="l"/>
        <c:majorGridlines/>
        <c:numFmt formatCode="0.00%" sourceLinked="1"/>
        <c:majorTickMark val="none"/>
        <c:tickLblPos val="nextTo"/>
        <c:spPr>
          <a:ln w="9525">
            <a:noFill/>
          </a:ln>
        </c:spPr>
        <c:crossAx val="79561472"/>
        <c:crosses val="autoZero"/>
        <c:crossBetween val="between"/>
      </c:valAx>
    </c:plotArea>
    <c:plotVisOnly val="1"/>
  </c:chart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142876</xdr:rowOff>
    </xdr:from>
    <xdr:to>
      <xdr:col>2</xdr:col>
      <xdr:colOff>1142264</xdr:colOff>
      <xdr:row>7</xdr:row>
      <xdr:rowOff>26960</xdr:rowOff>
    </xdr:to>
    <xdr:pic>
      <xdr:nvPicPr>
        <xdr:cNvPr id="2" name="Imagem 2" descr="Símbolo IFC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6293"/>
          <a:ext cx="2217531" cy="108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142876</xdr:rowOff>
    </xdr:from>
    <xdr:to>
      <xdr:col>2</xdr:col>
      <xdr:colOff>1152063</xdr:colOff>
      <xdr:row>7</xdr:row>
      <xdr:rowOff>32311</xdr:rowOff>
    </xdr:to>
    <xdr:pic>
      <xdr:nvPicPr>
        <xdr:cNvPr id="2" name="Imagem 2" descr="Símbolo IFC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6293"/>
          <a:ext cx="2227330" cy="1085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1</xdr:row>
      <xdr:rowOff>142876</xdr:rowOff>
    </xdr:from>
    <xdr:to>
      <xdr:col>2</xdr:col>
      <xdr:colOff>1152062</xdr:colOff>
      <xdr:row>7</xdr:row>
      <xdr:rowOff>32311</xdr:rowOff>
    </xdr:to>
    <xdr:pic>
      <xdr:nvPicPr>
        <xdr:cNvPr id="2" name="Imagem 2" descr="Símbolo IFC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386293"/>
          <a:ext cx="2227330" cy="1085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1</xdr:col>
      <xdr:colOff>1038225</xdr:colOff>
      <xdr:row>0</xdr:row>
      <xdr:rowOff>19050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0"/>
          <a:ext cx="1571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295274</xdr:colOff>
      <xdr:row>0</xdr:row>
      <xdr:rowOff>152400</xdr:rowOff>
    </xdr:from>
    <xdr:to>
      <xdr:col>1</xdr:col>
      <xdr:colOff>2867038</xdr:colOff>
      <xdr:row>5</xdr:row>
      <xdr:rowOff>230606</xdr:rowOff>
    </xdr:to>
    <xdr:pic>
      <xdr:nvPicPr>
        <xdr:cNvPr id="3" name="Imagem 2" descr="Símbolo IFC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274" y="152400"/>
          <a:ext cx="3214702" cy="1566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3357562</xdr:colOff>
      <xdr:row>48</xdr:row>
      <xdr:rowOff>23813</xdr:rowOff>
    </xdr:from>
    <xdr:to>
      <xdr:col>11</xdr:col>
      <xdr:colOff>23811</xdr:colOff>
      <xdr:row>72</xdr:row>
      <xdr:rowOff>178594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142875</xdr:rowOff>
    </xdr:from>
    <xdr:to>
      <xdr:col>2</xdr:col>
      <xdr:colOff>1047083</xdr:colOff>
      <xdr:row>7</xdr:row>
      <xdr:rowOff>37541</xdr:rowOff>
    </xdr:to>
    <xdr:pic>
      <xdr:nvPicPr>
        <xdr:cNvPr id="5" name="Imagem 2" descr="Símbolo IFC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75708"/>
          <a:ext cx="2217600" cy="108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1</xdr:row>
      <xdr:rowOff>142875</xdr:rowOff>
    </xdr:from>
    <xdr:to>
      <xdr:col>2</xdr:col>
      <xdr:colOff>931134</xdr:colOff>
      <xdr:row>7</xdr:row>
      <xdr:rowOff>32310</xdr:rowOff>
    </xdr:to>
    <xdr:pic>
      <xdr:nvPicPr>
        <xdr:cNvPr id="2" name="Imagem 2" descr="Símbolo IFC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386292"/>
          <a:ext cx="2227330" cy="1085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142876</xdr:rowOff>
    </xdr:from>
    <xdr:to>
      <xdr:col>2</xdr:col>
      <xdr:colOff>1068719</xdr:colOff>
      <xdr:row>7</xdr:row>
      <xdr:rowOff>32311</xdr:rowOff>
    </xdr:to>
    <xdr:pic>
      <xdr:nvPicPr>
        <xdr:cNvPr id="2" name="Imagem 2" descr="Símbolo IFC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6293"/>
          <a:ext cx="2227330" cy="1085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142876</xdr:rowOff>
    </xdr:from>
    <xdr:to>
      <xdr:col>2</xdr:col>
      <xdr:colOff>1152063</xdr:colOff>
      <xdr:row>7</xdr:row>
      <xdr:rowOff>32311</xdr:rowOff>
    </xdr:to>
    <xdr:pic>
      <xdr:nvPicPr>
        <xdr:cNvPr id="2" name="Imagem 2" descr="Símbolo IFC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6293"/>
          <a:ext cx="2227330" cy="1085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142876</xdr:rowOff>
    </xdr:from>
    <xdr:to>
      <xdr:col>2</xdr:col>
      <xdr:colOff>1152063</xdr:colOff>
      <xdr:row>7</xdr:row>
      <xdr:rowOff>32311</xdr:rowOff>
    </xdr:to>
    <xdr:pic>
      <xdr:nvPicPr>
        <xdr:cNvPr id="2" name="Imagem 2" descr="Símbolo IFC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6293"/>
          <a:ext cx="2227330" cy="1085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142876</xdr:rowOff>
    </xdr:from>
    <xdr:to>
      <xdr:col>2</xdr:col>
      <xdr:colOff>1152063</xdr:colOff>
      <xdr:row>7</xdr:row>
      <xdr:rowOff>32311</xdr:rowOff>
    </xdr:to>
    <xdr:pic>
      <xdr:nvPicPr>
        <xdr:cNvPr id="2" name="Imagem 2" descr="Símbolo IFC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6293"/>
          <a:ext cx="2227330" cy="1085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142876</xdr:rowOff>
    </xdr:from>
    <xdr:to>
      <xdr:col>2</xdr:col>
      <xdr:colOff>1152063</xdr:colOff>
      <xdr:row>7</xdr:row>
      <xdr:rowOff>32311</xdr:rowOff>
    </xdr:to>
    <xdr:pic>
      <xdr:nvPicPr>
        <xdr:cNvPr id="2" name="Imagem 2" descr="Símbolo IFC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6293"/>
          <a:ext cx="2227330" cy="1085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142876</xdr:rowOff>
    </xdr:from>
    <xdr:to>
      <xdr:col>2</xdr:col>
      <xdr:colOff>1152063</xdr:colOff>
      <xdr:row>7</xdr:row>
      <xdr:rowOff>32311</xdr:rowOff>
    </xdr:to>
    <xdr:pic>
      <xdr:nvPicPr>
        <xdr:cNvPr id="2" name="Imagem 2" descr="Símbolo IFC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6293"/>
          <a:ext cx="2227330" cy="10853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3"/>
  <sheetViews>
    <sheetView tabSelected="1" zoomScale="90" zoomScaleNormal="90" workbookViewId="0">
      <pane ySplit="10" topLeftCell="A11" activePane="bottomLeft" state="frozen"/>
      <selection pane="bottomLeft" activeCell="A11" sqref="A11:XFD11"/>
    </sheetView>
  </sheetViews>
  <sheetFormatPr defaultRowHeight="15"/>
  <cols>
    <col min="1" max="1" width="5.7109375" style="2" customWidth="1"/>
    <col min="2" max="2" width="11.28515625" style="2" customWidth="1"/>
    <col min="3" max="3" width="63.7109375" customWidth="1"/>
    <col min="4" max="4" width="9.140625" style="1"/>
    <col min="5" max="5" width="10.7109375" style="27" customWidth="1"/>
    <col min="6" max="6" width="12" customWidth="1"/>
    <col min="7" max="7" width="16.5703125" customWidth="1"/>
    <col min="8" max="8" width="14.140625" customWidth="1"/>
    <col min="9" max="11" width="13.140625" customWidth="1"/>
    <col min="12" max="12" width="9.42578125" bestFit="1" customWidth="1"/>
    <col min="14" max="14" width="12.5703125" customWidth="1"/>
    <col min="19" max="19" width="12.85546875" customWidth="1"/>
  </cols>
  <sheetData>
    <row r="1" spans="1:20" s="12" customFormat="1" ht="18.75">
      <c r="A1" s="490" t="s">
        <v>30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20">
      <c r="D2" s="3"/>
      <c r="E2" s="44"/>
      <c r="F2" s="1"/>
      <c r="G2" s="1"/>
      <c r="H2" s="1"/>
    </row>
    <row r="3" spans="1:20" ht="18.75">
      <c r="D3" s="51" t="s">
        <v>589</v>
      </c>
      <c r="E3" s="52"/>
      <c r="F3" s="52"/>
      <c r="G3" s="52"/>
      <c r="H3" s="6"/>
      <c r="J3" s="19"/>
      <c r="K3" s="17"/>
    </row>
    <row r="4" spans="1:20">
      <c r="D4" s="66" t="s">
        <v>511</v>
      </c>
      <c r="E4" s="67"/>
      <c r="F4" s="65"/>
      <c r="G4" s="65"/>
      <c r="H4" s="7"/>
      <c r="J4" s="18"/>
      <c r="K4" s="17"/>
    </row>
    <row r="5" spans="1:20">
      <c r="D5" s="491" t="s">
        <v>665</v>
      </c>
      <c r="E5" s="491"/>
      <c r="F5" s="491"/>
      <c r="G5" s="491"/>
      <c r="H5" s="7"/>
      <c r="J5" s="18"/>
      <c r="K5" s="17"/>
    </row>
    <row r="6" spans="1:20">
      <c r="D6" s="55" t="s">
        <v>666</v>
      </c>
      <c r="E6" s="55"/>
      <c r="F6" s="55"/>
      <c r="G6" s="55"/>
      <c r="H6" s="7"/>
      <c r="J6" s="18"/>
      <c r="K6" s="17"/>
    </row>
    <row r="7" spans="1:20">
      <c r="D7" s="491" t="s">
        <v>661</v>
      </c>
      <c r="E7" s="491"/>
      <c r="F7" s="491"/>
      <c r="G7" s="491"/>
      <c r="H7" s="7"/>
      <c r="J7" s="18"/>
      <c r="K7" s="17"/>
    </row>
    <row r="8" spans="1:20">
      <c r="J8" s="17"/>
      <c r="K8" s="17"/>
    </row>
    <row r="9" spans="1:20" s="12" customFormat="1" ht="15" customHeight="1">
      <c r="A9" s="471" t="s">
        <v>0</v>
      </c>
      <c r="B9" s="471" t="s">
        <v>125</v>
      </c>
      <c r="C9" s="471" t="s">
        <v>1</v>
      </c>
      <c r="D9" s="471" t="s">
        <v>2</v>
      </c>
      <c r="E9" s="500" t="s">
        <v>3</v>
      </c>
      <c r="F9" s="504" t="s">
        <v>22</v>
      </c>
      <c r="G9" s="505"/>
      <c r="H9" s="502" t="s">
        <v>23</v>
      </c>
      <c r="I9" s="503"/>
      <c r="J9" s="9" t="s">
        <v>19</v>
      </c>
      <c r="K9" s="16" t="s">
        <v>668</v>
      </c>
      <c r="L9" s="499"/>
      <c r="M9" s="499"/>
      <c r="N9" s="499"/>
      <c r="O9" s="499"/>
      <c r="P9" s="498"/>
      <c r="Q9" s="498"/>
      <c r="R9" s="498"/>
      <c r="S9" s="498"/>
      <c r="T9" s="498"/>
    </row>
    <row r="10" spans="1:20" ht="15.75" customHeight="1">
      <c r="A10" s="472"/>
      <c r="B10" s="472"/>
      <c r="C10" s="472"/>
      <c r="D10" s="472"/>
      <c r="E10" s="501"/>
      <c r="F10" s="8" t="s">
        <v>20</v>
      </c>
      <c r="G10" s="10" t="s">
        <v>21</v>
      </c>
      <c r="H10" s="10" t="s">
        <v>20</v>
      </c>
      <c r="I10" s="13" t="s">
        <v>21</v>
      </c>
      <c r="J10" s="10" t="s">
        <v>667</v>
      </c>
      <c r="K10" s="37">
        <f>E4</f>
        <v>0</v>
      </c>
      <c r="L10" s="14"/>
      <c r="M10" s="15"/>
      <c r="N10" s="15"/>
      <c r="O10" s="15"/>
      <c r="P10" s="14"/>
      <c r="Q10" s="14"/>
      <c r="R10" s="15"/>
      <c r="S10" s="15"/>
      <c r="T10" s="14"/>
    </row>
    <row r="11" spans="1:20">
      <c r="A11" s="4" t="s">
        <v>4</v>
      </c>
      <c r="B11" s="458" t="s">
        <v>24</v>
      </c>
      <c r="C11" s="459"/>
      <c r="D11" s="459"/>
      <c r="E11" s="459"/>
      <c r="F11" s="459"/>
      <c r="G11" s="459"/>
      <c r="H11" s="459"/>
      <c r="I11" s="459"/>
      <c r="J11" s="459"/>
      <c r="K11" s="473"/>
      <c r="L11" s="11"/>
      <c r="M11" s="11"/>
      <c r="N11" s="11"/>
      <c r="O11" s="11"/>
      <c r="P11" s="11"/>
      <c r="Q11" s="11"/>
      <c r="R11" s="11"/>
      <c r="S11" s="11"/>
      <c r="T11" s="11"/>
    </row>
    <row r="12" spans="1:20" s="53" customFormat="1">
      <c r="A12" s="48" t="s">
        <v>8</v>
      </c>
      <c r="B12" s="195" t="s">
        <v>162</v>
      </c>
      <c r="C12" s="49" t="s">
        <v>164</v>
      </c>
      <c r="D12" s="50" t="s">
        <v>29</v>
      </c>
      <c r="E12" s="47">
        <f>1.5*2</f>
        <v>3</v>
      </c>
      <c r="F12" s="47"/>
      <c r="G12" s="47"/>
      <c r="H12" s="47"/>
      <c r="I12" s="47"/>
      <c r="J12" s="47"/>
      <c r="K12" s="47"/>
      <c r="L12" s="11"/>
      <c r="M12" s="11"/>
      <c r="N12" s="11"/>
      <c r="O12" s="11"/>
      <c r="P12" s="11"/>
      <c r="Q12" s="11"/>
      <c r="R12" s="11"/>
      <c r="S12" s="11"/>
      <c r="T12" s="11"/>
    </row>
    <row r="13" spans="1:20" s="53" customFormat="1">
      <c r="A13" s="48" t="s">
        <v>9</v>
      </c>
      <c r="B13" s="84">
        <v>73672</v>
      </c>
      <c r="C13" s="49" t="s">
        <v>163</v>
      </c>
      <c r="D13" s="50" t="s">
        <v>29</v>
      </c>
      <c r="E13" s="47">
        <f>E19</f>
        <v>3024.1859999999997</v>
      </c>
      <c r="F13" s="47"/>
      <c r="G13" s="47"/>
      <c r="H13" s="47"/>
      <c r="I13" s="47"/>
      <c r="J13" s="47"/>
      <c r="K13" s="47"/>
      <c r="L13" s="11"/>
      <c r="M13" s="11"/>
      <c r="N13" s="11"/>
      <c r="O13" s="11"/>
      <c r="P13" s="11"/>
      <c r="Q13" s="11"/>
      <c r="R13" s="11"/>
      <c r="S13" s="11"/>
      <c r="T13" s="11"/>
    </row>
    <row r="14" spans="1:20" s="53" customFormat="1" ht="36.75">
      <c r="A14" s="48" t="s">
        <v>101</v>
      </c>
      <c r="B14" s="195" t="s">
        <v>165</v>
      </c>
      <c r="C14" s="58" t="s">
        <v>166</v>
      </c>
      <c r="D14" s="50" t="s">
        <v>167</v>
      </c>
      <c r="E14" s="47">
        <v>1</v>
      </c>
      <c r="F14" s="47"/>
      <c r="G14" s="47"/>
      <c r="H14" s="47"/>
      <c r="I14" s="47"/>
      <c r="J14" s="47"/>
      <c r="K14" s="47"/>
      <c r="L14" s="11"/>
      <c r="M14" s="11"/>
      <c r="N14" s="11"/>
      <c r="O14" s="11"/>
      <c r="P14" s="11"/>
      <c r="Q14" s="11"/>
      <c r="R14" s="11"/>
      <c r="S14" s="11"/>
      <c r="T14" s="11"/>
    </row>
    <row r="15" spans="1:20" s="53" customFormat="1" ht="24.75">
      <c r="A15" s="48" t="s">
        <v>102</v>
      </c>
      <c r="B15" s="195" t="s">
        <v>168</v>
      </c>
      <c r="C15" s="58" t="s">
        <v>169</v>
      </c>
      <c r="D15" s="50" t="s">
        <v>29</v>
      </c>
      <c r="E15" s="47">
        <v>6</v>
      </c>
      <c r="F15" s="47"/>
      <c r="G15" s="47"/>
      <c r="H15" s="47"/>
      <c r="I15" s="47"/>
      <c r="J15" s="47"/>
      <c r="K15" s="47"/>
      <c r="L15" s="11"/>
      <c r="M15" s="11"/>
      <c r="N15" s="11"/>
      <c r="O15" s="11"/>
      <c r="P15" s="11"/>
      <c r="Q15" s="11"/>
      <c r="R15" s="11"/>
      <c r="S15" s="11"/>
      <c r="T15" s="11"/>
    </row>
    <row r="16" spans="1:20" s="53" customFormat="1" ht="24.75">
      <c r="A16" s="48" t="s">
        <v>127</v>
      </c>
      <c r="B16" s="195" t="s">
        <v>171</v>
      </c>
      <c r="C16" s="224" t="s">
        <v>170</v>
      </c>
      <c r="D16" s="50" t="s">
        <v>29</v>
      </c>
      <c r="E16" s="47">
        <v>4</v>
      </c>
      <c r="F16" s="47"/>
      <c r="G16" s="47"/>
      <c r="H16" s="47"/>
      <c r="I16" s="47"/>
      <c r="J16" s="47"/>
      <c r="K16" s="47"/>
      <c r="L16" s="11"/>
      <c r="M16" s="11"/>
      <c r="N16" s="11"/>
      <c r="O16" s="11"/>
      <c r="P16" s="11"/>
      <c r="Q16" s="11"/>
      <c r="R16" s="11"/>
      <c r="S16" s="11"/>
      <c r="T16" s="11"/>
    </row>
    <row r="17" spans="1:20" s="53" customFormat="1">
      <c r="A17" s="48" t="s">
        <v>128</v>
      </c>
      <c r="B17" s="48"/>
      <c r="C17" s="76" t="s">
        <v>126</v>
      </c>
      <c r="D17" s="50" t="s">
        <v>167</v>
      </c>
      <c r="E17" s="47">
        <v>1</v>
      </c>
      <c r="F17" s="47"/>
      <c r="G17" s="47"/>
      <c r="H17" s="47"/>
      <c r="I17" s="47"/>
      <c r="J17" s="47"/>
      <c r="K17" s="47"/>
      <c r="L17" s="11"/>
      <c r="M17" s="11"/>
      <c r="N17" s="11"/>
      <c r="O17" s="11"/>
      <c r="P17" s="11"/>
      <c r="Q17" s="11"/>
      <c r="R17" s="11"/>
      <c r="S17" s="11"/>
      <c r="T17" s="11"/>
    </row>
    <row r="18" spans="1:20" s="53" customFormat="1" ht="24.75">
      <c r="A18" s="48" t="s">
        <v>129</v>
      </c>
      <c r="B18" s="195" t="s">
        <v>174</v>
      </c>
      <c r="C18" s="181" t="s">
        <v>173</v>
      </c>
      <c r="D18" s="50" t="s">
        <v>167</v>
      </c>
      <c r="E18" s="47">
        <v>1</v>
      </c>
      <c r="F18" s="47"/>
      <c r="G18" s="47"/>
      <c r="H18" s="47"/>
      <c r="I18" s="47"/>
      <c r="J18" s="47"/>
      <c r="K18" s="47"/>
      <c r="L18" s="11"/>
      <c r="M18" s="11"/>
      <c r="N18" s="11"/>
      <c r="O18" s="11"/>
      <c r="P18" s="11"/>
      <c r="Q18" s="11"/>
      <c r="R18" s="11"/>
      <c r="S18" s="11"/>
      <c r="T18" s="11"/>
    </row>
    <row r="19" spans="1:20" s="53" customFormat="1" ht="24.75">
      <c r="A19" s="48" t="s">
        <v>172</v>
      </c>
      <c r="B19" s="166" t="s">
        <v>176</v>
      </c>
      <c r="C19" s="167" t="s">
        <v>177</v>
      </c>
      <c r="D19" s="50" t="s">
        <v>29</v>
      </c>
      <c r="E19" s="47">
        <f>E243</f>
        <v>3024.1859999999997</v>
      </c>
      <c r="F19" s="117"/>
      <c r="G19" s="47"/>
      <c r="H19" s="117"/>
      <c r="I19" s="47"/>
      <c r="J19" s="47"/>
      <c r="K19" s="47"/>
      <c r="L19" s="11"/>
      <c r="M19" s="11"/>
      <c r="N19" s="11"/>
      <c r="O19" s="11"/>
      <c r="P19" s="11"/>
      <c r="Q19" s="11"/>
      <c r="R19" s="11"/>
      <c r="S19" s="11"/>
      <c r="T19" s="11"/>
    </row>
    <row r="20" spans="1:20" s="53" customFormat="1">
      <c r="A20" s="48" t="s">
        <v>421</v>
      </c>
      <c r="B20" s="48"/>
      <c r="C20" s="49" t="s">
        <v>428</v>
      </c>
      <c r="D20" s="50"/>
      <c r="E20" s="47"/>
      <c r="F20" s="47"/>
      <c r="G20" s="47"/>
      <c r="H20" s="47"/>
      <c r="I20" s="47"/>
      <c r="J20" s="47"/>
      <c r="K20" s="47"/>
      <c r="L20" s="11"/>
      <c r="M20" s="11"/>
      <c r="N20" s="11"/>
      <c r="O20" s="11"/>
      <c r="P20" s="11"/>
      <c r="Q20" s="11"/>
      <c r="R20" s="11"/>
      <c r="S20" s="11"/>
      <c r="T20" s="11"/>
    </row>
    <row r="21" spans="1:20" s="53" customFormat="1">
      <c r="A21" s="48" t="s">
        <v>422</v>
      </c>
      <c r="B21" s="48"/>
      <c r="C21" s="49" t="s">
        <v>429</v>
      </c>
      <c r="D21" s="50"/>
      <c r="E21" s="47"/>
      <c r="F21" s="47"/>
      <c r="G21" s="47"/>
      <c r="H21" s="47"/>
      <c r="I21" s="47"/>
      <c r="J21" s="47"/>
      <c r="K21" s="47"/>
      <c r="L21" s="11"/>
      <c r="M21" s="11"/>
      <c r="N21" s="11"/>
      <c r="O21" s="11"/>
      <c r="P21" s="11"/>
      <c r="Q21" s="11"/>
      <c r="R21" s="11"/>
      <c r="S21" s="11"/>
      <c r="T21" s="11"/>
    </row>
    <row r="22" spans="1:20" s="53" customFormat="1">
      <c r="A22" s="48" t="s">
        <v>423</v>
      </c>
      <c r="B22" s="48"/>
      <c r="C22" s="49" t="s">
        <v>430</v>
      </c>
      <c r="D22" s="50"/>
      <c r="E22" s="47"/>
      <c r="F22" s="47"/>
      <c r="G22" s="47"/>
      <c r="H22" s="47"/>
      <c r="I22" s="47"/>
      <c r="J22" s="47"/>
      <c r="K22" s="47"/>
      <c r="L22" s="11"/>
      <c r="M22" s="11"/>
      <c r="N22" s="11"/>
      <c r="O22" s="11"/>
      <c r="P22" s="11"/>
      <c r="Q22" s="11"/>
      <c r="R22" s="11"/>
      <c r="S22" s="11"/>
      <c r="T22" s="11"/>
    </row>
    <row r="23" spans="1:20" s="53" customFormat="1">
      <c r="A23" s="48" t="s">
        <v>424</v>
      </c>
      <c r="B23" s="48"/>
      <c r="C23" s="49" t="s">
        <v>432</v>
      </c>
      <c r="D23" s="50"/>
      <c r="E23" s="47"/>
      <c r="F23" s="47"/>
      <c r="G23" s="47"/>
      <c r="H23" s="47"/>
      <c r="I23" s="47"/>
      <c r="J23" s="47"/>
      <c r="K23" s="47"/>
      <c r="L23" s="11"/>
      <c r="M23" s="11"/>
      <c r="N23" s="11"/>
      <c r="O23" s="11"/>
      <c r="P23" s="11"/>
      <c r="Q23" s="11"/>
      <c r="R23" s="11"/>
      <c r="S23" s="11"/>
      <c r="T23" s="11"/>
    </row>
    <row r="24" spans="1:20" s="53" customFormat="1">
      <c r="A24" s="48" t="s">
        <v>425</v>
      </c>
      <c r="B24" s="48"/>
      <c r="C24" s="49" t="s">
        <v>431</v>
      </c>
      <c r="D24" s="50"/>
      <c r="E24" s="47"/>
      <c r="F24" s="47"/>
      <c r="G24" s="47"/>
      <c r="H24" s="47"/>
      <c r="I24" s="47"/>
      <c r="J24" s="47"/>
      <c r="K24" s="47"/>
      <c r="L24" s="11"/>
      <c r="M24" s="11"/>
      <c r="N24" s="11"/>
      <c r="O24" s="11"/>
      <c r="P24" s="11"/>
      <c r="Q24" s="11"/>
      <c r="R24" s="11"/>
      <c r="S24" s="11"/>
      <c r="T24" s="11"/>
    </row>
    <row r="25" spans="1:20" s="53" customFormat="1">
      <c r="A25" s="48" t="s">
        <v>426</v>
      </c>
      <c r="B25" s="48"/>
      <c r="C25" s="49" t="s">
        <v>433</v>
      </c>
      <c r="D25" s="50"/>
      <c r="E25" s="47"/>
      <c r="F25" s="47"/>
      <c r="G25" s="47"/>
      <c r="H25" s="47"/>
      <c r="I25" s="47"/>
      <c r="J25" s="47"/>
      <c r="K25" s="47"/>
      <c r="L25" s="11"/>
      <c r="M25" s="11"/>
      <c r="N25" s="11"/>
      <c r="O25" s="11"/>
      <c r="P25" s="11"/>
      <c r="Q25" s="11"/>
      <c r="R25" s="11"/>
      <c r="S25" s="11"/>
      <c r="T25" s="11"/>
    </row>
    <row r="26" spans="1:20" s="53" customFormat="1">
      <c r="A26" s="48" t="s">
        <v>427</v>
      </c>
      <c r="B26" s="48"/>
      <c r="C26" s="49" t="s">
        <v>434</v>
      </c>
      <c r="D26" s="50"/>
      <c r="E26" s="47"/>
      <c r="F26" s="47"/>
      <c r="G26" s="47"/>
      <c r="H26" s="47"/>
      <c r="I26" s="47"/>
      <c r="J26" s="47"/>
      <c r="K26" s="47"/>
      <c r="L26" s="11"/>
      <c r="M26" s="11"/>
      <c r="N26" s="11"/>
      <c r="O26" s="11"/>
      <c r="P26" s="11"/>
      <c r="Q26" s="11"/>
      <c r="R26" s="11"/>
      <c r="S26" s="11"/>
      <c r="T26" s="11"/>
    </row>
    <row r="27" spans="1:20" s="53" customFormat="1">
      <c r="A27" s="48" t="s">
        <v>436</v>
      </c>
      <c r="B27" s="48"/>
      <c r="C27" s="49" t="s">
        <v>435</v>
      </c>
      <c r="D27" s="226"/>
      <c r="E27" s="227"/>
      <c r="F27" s="219"/>
      <c r="G27" s="219"/>
      <c r="H27" s="219"/>
      <c r="I27" s="219"/>
      <c r="J27" s="49"/>
      <c r="K27" s="49"/>
      <c r="L27" s="11"/>
      <c r="M27" s="11"/>
      <c r="N27" s="11"/>
      <c r="O27" s="11"/>
      <c r="P27" s="11"/>
      <c r="Q27" s="11"/>
      <c r="R27" s="11"/>
      <c r="S27" s="11"/>
      <c r="T27" s="11"/>
    </row>
    <row r="28" spans="1:20" s="53" customFormat="1">
      <c r="A28" s="48" t="s">
        <v>549</v>
      </c>
      <c r="B28" s="48"/>
      <c r="C28" s="49" t="s">
        <v>551</v>
      </c>
      <c r="D28" s="50"/>
      <c r="E28" s="47"/>
      <c r="F28" s="47"/>
      <c r="G28" s="47"/>
      <c r="H28" s="47"/>
      <c r="I28" s="47"/>
      <c r="J28" s="47"/>
      <c r="K28" s="47"/>
      <c r="L28" s="11"/>
      <c r="M28" s="11"/>
      <c r="N28" s="11"/>
      <c r="O28" s="11"/>
      <c r="P28" s="11"/>
      <c r="Q28" s="11"/>
      <c r="R28" s="11"/>
      <c r="S28" s="11"/>
      <c r="T28" s="11"/>
    </row>
    <row r="29" spans="1:20" s="53" customFormat="1">
      <c r="A29" s="48" t="s">
        <v>550</v>
      </c>
      <c r="B29" s="225"/>
      <c r="C29" s="49" t="s">
        <v>552</v>
      </c>
      <c r="D29" s="219"/>
      <c r="E29" s="219"/>
      <c r="F29" s="219"/>
      <c r="G29" s="219"/>
      <c r="H29" s="219"/>
      <c r="I29" s="219"/>
      <c r="J29" s="49"/>
      <c r="K29" s="49"/>
    </row>
    <row r="30" spans="1:20">
      <c r="A30" s="494" t="s">
        <v>15</v>
      </c>
      <c r="B30" s="494"/>
      <c r="C30" s="495"/>
      <c r="D30" s="495"/>
      <c r="E30" s="495"/>
      <c r="F30" s="495"/>
      <c r="G30" s="495"/>
      <c r="H30" s="495"/>
      <c r="I30" s="495"/>
      <c r="J30" s="22"/>
      <c r="K30" s="38"/>
      <c r="L30" s="11"/>
      <c r="M30" s="11"/>
      <c r="N30" s="11"/>
      <c r="O30" s="11"/>
      <c r="P30" s="11"/>
      <c r="Q30" s="11"/>
      <c r="R30" s="11"/>
      <c r="S30" s="11"/>
      <c r="T30" s="11"/>
    </row>
    <row r="31" spans="1:20" s="53" customFormat="1">
      <c r="A31" s="48" t="s">
        <v>5</v>
      </c>
      <c r="B31" s="474" t="s">
        <v>103</v>
      </c>
      <c r="C31" s="475"/>
      <c r="D31" s="475"/>
      <c r="E31" s="475"/>
      <c r="F31" s="475"/>
      <c r="G31" s="475"/>
      <c r="H31" s="475"/>
      <c r="I31" s="475"/>
      <c r="J31" s="475"/>
      <c r="K31" s="476"/>
      <c r="L31" s="11"/>
      <c r="M31" s="11"/>
      <c r="N31" s="11"/>
      <c r="O31" s="11"/>
      <c r="P31" s="11"/>
      <c r="Q31" s="11"/>
      <c r="R31" s="11"/>
      <c r="S31" s="11"/>
      <c r="T31" s="11"/>
    </row>
    <row r="32" spans="1:20" s="53" customFormat="1">
      <c r="A32" s="59" t="s">
        <v>10</v>
      </c>
      <c r="B32" s="196" t="s">
        <v>178</v>
      </c>
      <c r="C32" s="232" t="s">
        <v>179</v>
      </c>
      <c r="D32" s="50"/>
      <c r="E32" s="47">
        <f>E19*0.25</f>
        <v>756.04649999999992</v>
      </c>
      <c r="F32" s="47"/>
      <c r="G32" s="47"/>
      <c r="H32" s="47"/>
      <c r="I32" s="47"/>
      <c r="J32" s="47"/>
      <c r="K32" s="47"/>
      <c r="L32" s="11"/>
      <c r="M32" s="11"/>
      <c r="N32" s="11"/>
      <c r="O32" s="11"/>
      <c r="P32" s="11"/>
      <c r="Q32" s="11"/>
      <c r="R32" s="11"/>
      <c r="S32" s="11"/>
      <c r="T32" s="11"/>
    </row>
    <row r="33" spans="1:20" s="53" customFormat="1">
      <c r="A33" s="59" t="s">
        <v>442</v>
      </c>
      <c r="B33" s="59"/>
      <c r="C33" s="49" t="s">
        <v>428</v>
      </c>
      <c r="D33" s="50"/>
      <c r="E33" s="47"/>
      <c r="F33" s="47"/>
      <c r="G33" s="47"/>
      <c r="H33" s="47"/>
      <c r="I33" s="47"/>
      <c r="J33" s="47"/>
      <c r="K33" s="47"/>
      <c r="L33" s="11"/>
      <c r="M33" s="11"/>
      <c r="N33" s="11"/>
      <c r="O33" s="11"/>
      <c r="P33" s="11"/>
      <c r="Q33" s="11"/>
      <c r="R33" s="11"/>
      <c r="S33" s="11"/>
      <c r="T33" s="11"/>
    </row>
    <row r="34" spans="1:20" s="53" customFormat="1">
      <c r="A34" s="59" t="s">
        <v>443</v>
      </c>
      <c r="B34" s="59"/>
      <c r="C34" s="49" t="s">
        <v>429</v>
      </c>
      <c r="D34" s="50"/>
      <c r="E34" s="47"/>
      <c r="F34" s="47"/>
      <c r="G34" s="47"/>
      <c r="H34" s="47"/>
      <c r="I34" s="47"/>
      <c r="J34" s="47"/>
      <c r="K34" s="47"/>
      <c r="L34" s="11"/>
      <c r="M34" s="11"/>
      <c r="N34" s="11"/>
      <c r="O34" s="11"/>
      <c r="P34" s="11"/>
      <c r="Q34" s="11"/>
      <c r="R34" s="11"/>
      <c r="S34" s="11"/>
      <c r="T34" s="11"/>
    </row>
    <row r="35" spans="1:20" s="53" customFormat="1">
      <c r="A35" s="59" t="s">
        <v>444</v>
      </c>
      <c r="B35" s="59"/>
      <c r="C35" s="49" t="s">
        <v>430</v>
      </c>
      <c r="D35" s="50"/>
      <c r="E35" s="47"/>
      <c r="F35" s="47"/>
      <c r="G35" s="47"/>
      <c r="H35" s="47"/>
      <c r="I35" s="47"/>
      <c r="J35" s="47"/>
      <c r="K35" s="47"/>
      <c r="L35" s="11"/>
      <c r="M35" s="11"/>
      <c r="N35" s="11"/>
      <c r="O35" s="11"/>
      <c r="P35" s="11"/>
      <c r="Q35" s="11"/>
      <c r="R35" s="11"/>
      <c r="S35" s="11"/>
      <c r="T35" s="11"/>
    </row>
    <row r="36" spans="1:20" s="53" customFormat="1">
      <c r="A36" s="59" t="s">
        <v>445</v>
      </c>
      <c r="B36" s="59"/>
      <c r="C36" s="49" t="s">
        <v>432</v>
      </c>
      <c r="D36" s="50"/>
      <c r="E36" s="47"/>
      <c r="F36" s="47"/>
      <c r="G36" s="47"/>
      <c r="H36" s="47"/>
      <c r="I36" s="47"/>
      <c r="J36" s="47"/>
      <c r="K36" s="47"/>
      <c r="L36" s="11"/>
      <c r="M36" s="11"/>
      <c r="N36" s="11"/>
      <c r="O36" s="11"/>
      <c r="P36" s="11"/>
      <c r="Q36" s="11"/>
      <c r="R36" s="11"/>
      <c r="S36" s="11"/>
      <c r="T36" s="11"/>
    </row>
    <row r="37" spans="1:20" s="53" customFormat="1">
      <c r="A37" s="59" t="s">
        <v>446</v>
      </c>
      <c r="B37" s="59"/>
      <c r="C37" s="49" t="s">
        <v>431</v>
      </c>
      <c r="D37" s="50"/>
      <c r="E37" s="47"/>
      <c r="F37" s="47"/>
      <c r="G37" s="47"/>
      <c r="H37" s="47"/>
      <c r="I37" s="47"/>
      <c r="J37" s="47"/>
      <c r="K37" s="47"/>
      <c r="L37" s="11"/>
      <c r="M37" s="11"/>
      <c r="N37" s="11"/>
      <c r="O37" s="11"/>
      <c r="P37" s="11"/>
      <c r="Q37" s="11"/>
      <c r="R37" s="11"/>
      <c r="S37" s="11"/>
      <c r="T37" s="11"/>
    </row>
    <row r="38" spans="1:20" s="53" customFormat="1">
      <c r="A38" s="59" t="s">
        <v>447</v>
      </c>
      <c r="B38" s="59"/>
      <c r="C38" s="49" t="s">
        <v>433</v>
      </c>
      <c r="D38" s="50"/>
      <c r="E38" s="47"/>
      <c r="F38" s="47"/>
      <c r="G38" s="47"/>
      <c r="H38" s="47"/>
      <c r="I38" s="47"/>
      <c r="J38" s="47"/>
      <c r="K38" s="47"/>
      <c r="L38" s="11"/>
      <c r="M38" s="11"/>
      <c r="N38" s="11"/>
      <c r="O38" s="11"/>
      <c r="P38" s="11"/>
      <c r="Q38" s="11"/>
      <c r="R38" s="11"/>
      <c r="S38" s="11"/>
      <c r="T38" s="11"/>
    </row>
    <row r="39" spans="1:20" s="53" customFormat="1">
      <c r="A39" s="59" t="s">
        <v>448</v>
      </c>
      <c r="B39" s="228"/>
      <c r="C39" s="229" t="s">
        <v>434</v>
      </c>
      <c r="D39" s="230"/>
      <c r="E39" s="214"/>
      <c r="F39" s="214"/>
      <c r="G39" s="214"/>
      <c r="H39" s="214"/>
      <c r="I39" s="214"/>
      <c r="J39" s="47"/>
      <c r="K39" s="47"/>
      <c r="L39" s="11"/>
      <c r="M39" s="11"/>
      <c r="N39" s="11"/>
      <c r="O39" s="11"/>
      <c r="P39" s="11"/>
      <c r="Q39" s="11"/>
      <c r="R39" s="11"/>
      <c r="S39" s="11"/>
      <c r="T39" s="11"/>
    </row>
    <row r="40" spans="1:20" s="53" customFormat="1">
      <c r="A40" s="59" t="s">
        <v>449</v>
      </c>
      <c r="B40" s="228"/>
      <c r="C40" s="49" t="s">
        <v>435</v>
      </c>
      <c r="D40" s="230"/>
      <c r="E40" s="214"/>
      <c r="F40" s="214"/>
      <c r="G40" s="214"/>
      <c r="H40" s="214"/>
      <c r="I40" s="214"/>
      <c r="J40" s="47"/>
      <c r="K40" s="47"/>
      <c r="L40" s="11"/>
      <c r="M40" s="11"/>
      <c r="N40" s="11"/>
      <c r="O40" s="11"/>
      <c r="P40" s="11"/>
      <c r="Q40" s="11"/>
      <c r="R40" s="11"/>
      <c r="S40" s="11"/>
      <c r="T40" s="11"/>
    </row>
    <row r="41" spans="1:20" s="53" customFormat="1">
      <c r="A41" s="228" t="s">
        <v>553</v>
      </c>
      <c r="B41" s="228"/>
      <c r="C41" s="229" t="s">
        <v>551</v>
      </c>
      <c r="D41" s="230"/>
      <c r="E41" s="214"/>
      <c r="F41" s="214"/>
      <c r="G41" s="214"/>
      <c r="H41" s="214"/>
      <c r="I41" s="214"/>
      <c r="J41" s="214"/>
      <c r="K41" s="214"/>
      <c r="L41" s="11"/>
      <c r="M41" s="11"/>
      <c r="N41" s="11"/>
      <c r="O41" s="11"/>
      <c r="P41" s="11"/>
      <c r="Q41" s="11"/>
      <c r="R41" s="11"/>
      <c r="S41" s="11"/>
      <c r="T41" s="11"/>
    </row>
    <row r="42" spans="1:20" s="252" customFormat="1">
      <c r="A42" s="48" t="s">
        <v>554</v>
      </c>
      <c r="B42" s="225"/>
      <c r="C42" s="49" t="s">
        <v>552</v>
      </c>
      <c r="D42" s="226"/>
      <c r="E42" s="227"/>
      <c r="F42" s="219"/>
      <c r="G42" s="219"/>
      <c r="H42" s="219"/>
      <c r="I42" s="219"/>
      <c r="J42" s="49"/>
      <c r="K42" s="49"/>
      <c r="L42" s="11"/>
      <c r="M42" s="11"/>
      <c r="N42" s="11"/>
      <c r="O42" s="11"/>
      <c r="P42" s="11"/>
      <c r="Q42" s="11"/>
      <c r="R42" s="11"/>
      <c r="S42" s="11"/>
      <c r="T42" s="11"/>
    </row>
    <row r="43" spans="1:20">
      <c r="A43" s="492" t="s">
        <v>16</v>
      </c>
      <c r="B43" s="492"/>
      <c r="C43" s="493"/>
      <c r="D43" s="493"/>
      <c r="E43" s="493"/>
      <c r="F43" s="493"/>
      <c r="G43" s="493"/>
      <c r="H43" s="493"/>
      <c r="I43" s="493"/>
      <c r="J43" s="215"/>
      <c r="K43" s="216"/>
      <c r="L43" s="11"/>
      <c r="M43" s="11"/>
      <c r="N43" s="11"/>
      <c r="O43" s="11"/>
      <c r="P43" s="11"/>
      <c r="Q43" s="11"/>
      <c r="R43" s="11"/>
      <c r="S43" s="11"/>
      <c r="T43" s="11"/>
    </row>
    <row r="44" spans="1:20">
      <c r="A44" s="60" t="s">
        <v>105</v>
      </c>
      <c r="B44" s="458" t="s">
        <v>106</v>
      </c>
      <c r="C44" s="459"/>
      <c r="D44" s="459"/>
      <c r="E44" s="459"/>
      <c r="F44" s="459"/>
      <c r="G44" s="459"/>
      <c r="H44" s="459"/>
      <c r="I44" s="459"/>
      <c r="J44" s="459"/>
      <c r="K44" s="473"/>
      <c r="L44" s="11"/>
      <c r="M44" s="11"/>
      <c r="N44" s="11"/>
      <c r="O44" s="11"/>
      <c r="P44" s="11"/>
      <c r="Q44" s="11"/>
      <c r="R44" s="11"/>
      <c r="S44" s="11"/>
      <c r="T44" s="11"/>
    </row>
    <row r="45" spans="1:20" s="53" customFormat="1">
      <c r="A45" s="60" t="s">
        <v>12</v>
      </c>
      <c r="B45" s="48"/>
      <c r="C45" s="49" t="s">
        <v>428</v>
      </c>
      <c r="D45" s="50"/>
      <c r="E45" s="47"/>
      <c r="F45" s="47"/>
      <c r="G45" s="47"/>
      <c r="H45" s="47"/>
      <c r="I45" s="47"/>
      <c r="J45" s="47"/>
      <c r="K45" s="47"/>
      <c r="L45" s="11"/>
      <c r="M45" s="11"/>
      <c r="N45" s="11"/>
      <c r="O45" s="11"/>
      <c r="P45" s="11"/>
      <c r="Q45" s="11"/>
      <c r="R45" s="11"/>
      <c r="S45" s="11"/>
      <c r="T45" s="11"/>
    </row>
    <row r="46" spans="1:20" s="53" customFormat="1">
      <c r="A46" s="60" t="s">
        <v>13</v>
      </c>
      <c r="B46" s="48"/>
      <c r="C46" s="49" t="s">
        <v>429</v>
      </c>
      <c r="D46" s="50"/>
      <c r="E46" s="47"/>
      <c r="F46" s="47"/>
      <c r="G46" s="47"/>
      <c r="H46" s="47"/>
      <c r="I46" s="47"/>
      <c r="J46" s="47"/>
      <c r="K46" s="47"/>
      <c r="L46" s="11"/>
      <c r="M46" s="11"/>
      <c r="N46" s="11"/>
      <c r="O46" s="11"/>
      <c r="P46" s="11"/>
      <c r="Q46" s="11"/>
      <c r="R46" s="11"/>
      <c r="S46" s="11"/>
      <c r="T46" s="11"/>
    </row>
    <row r="47" spans="1:20" s="53" customFormat="1">
      <c r="A47" s="60" t="s">
        <v>285</v>
      </c>
      <c r="B47" s="48"/>
      <c r="C47" s="49" t="s">
        <v>430</v>
      </c>
      <c r="D47" s="50"/>
      <c r="E47" s="47"/>
      <c r="F47" s="47"/>
      <c r="G47" s="47"/>
      <c r="H47" s="47"/>
      <c r="I47" s="47"/>
      <c r="J47" s="47"/>
      <c r="K47" s="47"/>
      <c r="L47" s="11"/>
      <c r="M47" s="11"/>
      <c r="N47" s="11"/>
      <c r="O47" s="11"/>
      <c r="P47" s="11"/>
      <c r="Q47" s="11"/>
      <c r="R47" s="11"/>
      <c r="S47" s="11"/>
      <c r="T47" s="11"/>
    </row>
    <row r="48" spans="1:20" s="53" customFormat="1">
      <c r="A48" s="60" t="s">
        <v>286</v>
      </c>
      <c r="B48" s="48"/>
      <c r="C48" s="49" t="s">
        <v>432</v>
      </c>
      <c r="D48" s="50"/>
      <c r="E48" s="47"/>
      <c r="F48" s="47"/>
      <c r="G48" s="47"/>
      <c r="H48" s="47"/>
      <c r="I48" s="47"/>
      <c r="J48" s="47"/>
      <c r="K48" s="47"/>
      <c r="L48" s="11"/>
      <c r="M48" s="11"/>
      <c r="N48" s="11"/>
      <c r="O48" s="11"/>
      <c r="P48" s="11"/>
      <c r="Q48" s="11"/>
      <c r="R48" s="11"/>
      <c r="S48" s="11"/>
      <c r="T48" s="11"/>
    </row>
    <row r="49" spans="1:22" s="53" customFormat="1">
      <c r="A49" s="60" t="s">
        <v>288</v>
      </c>
      <c r="B49" s="48"/>
      <c r="C49" s="49" t="s">
        <v>431</v>
      </c>
      <c r="D49" s="50"/>
      <c r="E49" s="47"/>
      <c r="F49" s="47"/>
      <c r="G49" s="47"/>
      <c r="H49" s="47"/>
      <c r="I49" s="47"/>
      <c r="J49" s="47"/>
      <c r="K49" s="47"/>
      <c r="L49" s="11"/>
      <c r="M49" s="11"/>
      <c r="N49" s="11"/>
      <c r="O49" s="11"/>
      <c r="P49" s="11"/>
      <c r="Q49" s="11"/>
      <c r="R49" s="11"/>
      <c r="S49" s="11"/>
      <c r="T49" s="11"/>
    </row>
    <row r="50" spans="1:22" s="53" customFormat="1">
      <c r="A50" s="60" t="s">
        <v>450</v>
      </c>
      <c r="B50" s="48"/>
      <c r="C50" s="49" t="s">
        <v>433</v>
      </c>
      <c r="D50" s="50"/>
      <c r="E50" s="47"/>
      <c r="F50" s="47"/>
      <c r="G50" s="47"/>
      <c r="H50" s="47"/>
      <c r="I50" s="47"/>
      <c r="J50" s="47"/>
      <c r="K50" s="47"/>
      <c r="L50" s="11"/>
      <c r="M50" s="11"/>
      <c r="N50" s="11"/>
      <c r="O50" s="11"/>
      <c r="P50" s="11"/>
      <c r="Q50" s="11"/>
      <c r="R50" s="11"/>
      <c r="S50" s="11"/>
      <c r="T50" s="11"/>
    </row>
    <row r="51" spans="1:22" s="53" customFormat="1">
      <c r="A51" s="60" t="s">
        <v>451</v>
      </c>
      <c r="B51" s="48"/>
      <c r="C51" s="229" t="s">
        <v>434</v>
      </c>
      <c r="D51" s="50"/>
      <c r="E51" s="47"/>
      <c r="F51" s="47"/>
      <c r="G51" s="47"/>
      <c r="H51" s="47"/>
      <c r="I51" s="47"/>
      <c r="J51" s="47"/>
      <c r="K51" s="47"/>
      <c r="L51" s="11"/>
      <c r="M51" s="11"/>
      <c r="N51" s="11"/>
      <c r="O51" s="11"/>
      <c r="P51" s="11"/>
      <c r="Q51" s="11"/>
      <c r="R51" s="11"/>
      <c r="S51" s="11"/>
      <c r="T51" s="11"/>
    </row>
    <row r="52" spans="1:22" s="53" customFormat="1">
      <c r="A52" s="60" t="s">
        <v>452</v>
      </c>
      <c r="B52" s="48"/>
      <c r="C52" s="49" t="s">
        <v>435</v>
      </c>
      <c r="D52" s="50"/>
      <c r="E52" s="47"/>
      <c r="F52" s="47"/>
      <c r="G52" s="47"/>
      <c r="H52" s="47"/>
      <c r="I52" s="47"/>
      <c r="J52" s="47"/>
      <c r="K52" s="47"/>
      <c r="L52" s="11"/>
      <c r="M52" s="11"/>
      <c r="N52" s="11"/>
      <c r="O52" s="11"/>
      <c r="P52" s="11"/>
      <c r="Q52" s="11"/>
      <c r="R52" s="11"/>
      <c r="S52" s="11"/>
      <c r="T52" s="11"/>
    </row>
    <row r="53" spans="1:22" s="53" customFormat="1">
      <c r="A53" s="60" t="s">
        <v>453</v>
      </c>
      <c r="B53" s="48"/>
      <c r="C53" s="49" t="s">
        <v>551</v>
      </c>
      <c r="D53" s="50"/>
      <c r="E53" s="47"/>
      <c r="F53" s="47"/>
      <c r="G53" s="47"/>
      <c r="H53" s="47"/>
      <c r="I53" s="47"/>
      <c r="J53" s="47"/>
      <c r="K53" s="47"/>
      <c r="L53" s="11"/>
      <c r="M53" s="11"/>
      <c r="N53" s="11"/>
      <c r="O53" s="11"/>
      <c r="P53" s="11"/>
      <c r="Q53" s="11"/>
      <c r="R53" s="11"/>
      <c r="S53" s="11"/>
      <c r="T53" s="11"/>
    </row>
    <row r="54" spans="1:22" s="53" customFormat="1">
      <c r="A54" s="60" t="s">
        <v>555</v>
      </c>
      <c r="B54" s="48"/>
      <c r="C54" s="49" t="s">
        <v>552</v>
      </c>
      <c r="D54" s="50"/>
      <c r="E54" s="47"/>
      <c r="F54" s="47"/>
      <c r="G54" s="47"/>
      <c r="H54" s="47"/>
      <c r="I54" s="47"/>
      <c r="J54" s="47"/>
      <c r="K54" s="47"/>
      <c r="L54" s="11"/>
      <c r="M54" s="11"/>
      <c r="N54" s="11"/>
      <c r="O54" s="11"/>
      <c r="P54" s="11"/>
      <c r="Q54" s="11"/>
      <c r="R54" s="11"/>
      <c r="S54" s="11"/>
      <c r="T54" s="11"/>
    </row>
    <row r="55" spans="1:22">
      <c r="A55" s="479" t="s">
        <v>17</v>
      </c>
      <c r="B55" s="480"/>
      <c r="C55" s="480"/>
      <c r="D55" s="480"/>
      <c r="E55" s="480"/>
      <c r="F55" s="480"/>
      <c r="G55" s="480"/>
      <c r="H55" s="480"/>
      <c r="I55" s="481"/>
      <c r="J55" s="22"/>
      <c r="K55" s="22"/>
      <c r="L55" s="77"/>
      <c r="M55" s="11"/>
      <c r="N55" s="11"/>
      <c r="O55" s="11"/>
      <c r="P55" s="11"/>
      <c r="Q55" s="11"/>
      <c r="R55" s="11"/>
      <c r="S55" s="11"/>
      <c r="T55" s="11"/>
    </row>
    <row r="56" spans="1:22" s="74" customFormat="1">
      <c r="A56" s="70" t="s">
        <v>33</v>
      </c>
      <c r="B56" s="477" t="s">
        <v>107</v>
      </c>
      <c r="C56" s="478"/>
      <c r="D56" s="478"/>
      <c r="E56" s="478"/>
      <c r="F56" s="478"/>
      <c r="G56" s="478"/>
      <c r="H56" s="478"/>
      <c r="I56" s="478"/>
      <c r="J56" s="478"/>
      <c r="K56" s="478"/>
      <c r="L56" s="78"/>
      <c r="M56" s="73"/>
      <c r="N56" s="73"/>
      <c r="O56" s="73"/>
      <c r="P56" s="73"/>
      <c r="Q56" s="73"/>
      <c r="R56" s="73"/>
      <c r="S56" s="73"/>
      <c r="T56" s="73"/>
      <c r="U56" s="73"/>
      <c r="V56" s="73"/>
    </row>
    <row r="57" spans="1:22" s="81" customFormat="1">
      <c r="A57" s="80" t="s">
        <v>34</v>
      </c>
      <c r="B57" s="80"/>
      <c r="C57" s="49" t="s">
        <v>428</v>
      </c>
      <c r="D57" s="92"/>
      <c r="E57" s="200"/>
      <c r="F57" s="200"/>
      <c r="G57" s="200"/>
      <c r="H57" s="200"/>
      <c r="I57" s="200"/>
      <c r="J57" s="82"/>
      <c r="K57" s="82"/>
      <c r="L57" s="78"/>
      <c r="M57" s="73"/>
      <c r="N57" s="73"/>
      <c r="O57" s="73"/>
      <c r="P57" s="73"/>
      <c r="Q57" s="73"/>
      <c r="R57" s="73"/>
      <c r="S57" s="73"/>
      <c r="T57" s="73"/>
      <c r="U57" s="73"/>
      <c r="V57" s="73"/>
    </row>
    <row r="58" spans="1:22" s="81" customFormat="1">
      <c r="A58" s="80" t="s">
        <v>108</v>
      </c>
      <c r="B58" s="80"/>
      <c r="C58" s="49" t="s">
        <v>429</v>
      </c>
      <c r="D58" s="92"/>
      <c r="E58" s="200"/>
      <c r="F58" s="200"/>
      <c r="G58" s="200"/>
      <c r="H58" s="200"/>
      <c r="I58" s="200"/>
      <c r="J58" s="82"/>
      <c r="K58" s="82"/>
      <c r="L58" s="78"/>
      <c r="M58" s="73"/>
      <c r="N58" s="73"/>
      <c r="O58" s="73"/>
      <c r="P58" s="73"/>
      <c r="Q58" s="73"/>
      <c r="R58" s="73"/>
      <c r="S58" s="73"/>
      <c r="T58" s="73"/>
      <c r="U58" s="73"/>
      <c r="V58" s="73"/>
    </row>
    <row r="59" spans="1:22" s="81" customFormat="1">
      <c r="A59" s="80" t="s">
        <v>35</v>
      </c>
      <c r="B59" s="80"/>
      <c r="C59" s="49" t="s">
        <v>430</v>
      </c>
      <c r="D59" s="92"/>
      <c r="E59" s="200"/>
      <c r="F59" s="200"/>
      <c r="G59" s="200"/>
      <c r="H59" s="200"/>
      <c r="I59" s="200"/>
      <c r="J59" s="82"/>
      <c r="K59" s="82"/>
      <c r="L59" s="78"/>
      <c r="M59" s="73"/>
      <c r="N59" s="73"/>
      <c r="O59" s="73"/>
      <c r="P59" s="73"/>
      <c r="Q59" s="73"/>
      <c r="R59" s="73"/>
      <c r="S59" s="73"/>
      <c r="T59" s="73"/>
      <c r="U59" s="73"/>
      <c r="V59" s="73"/>
    </row>
    <row r="60" spans="1:22" s="81" customFormat="1">
      <c r="A60" s="80" t="s">
        <v>36</v>
      </c>
      <c r="B60" s="80"/>
      <c r="C60" s="49" t="s">
        <v>432</v>
      </c>
      <c r="D60" s="92"/>
      <c r="E60" s="200"/>
      <c r="F60" s="200"/>
      <c r="G60" s="200"/>
      <c r="H60" s="200"/>
      <c r="I60" s="200"/>
      <c r="J60" s="82"/>
      <c r="K60" s="82"/>
      <c r="L60" s="78"/>
      <c r="M60" s="73"/>
      <c r="N60" s="73"/>
      <c r="O60" s="73"/>
      <c r="P60" s="73"/>
      <c r="Q60" s="73"/>
      <c r="R60" s="73"/>
      <c r="S60" s="73"/>
      <c r="T60" s="73"/>
      <c r="U60" s="73"/>
      <c r="V60" s="73"/>
    </row>
    <row r="61" spans="1:22" s="81" customFormat="1">
      <c r="A61" s="80" t="s">
        <v>37</v>
      </c>
      <c r="B61" s="80"/>
      <c r="C61" s="49" t="s">
        <v>431</v>
      </c>
      <c r="D61" s="92"/>
      <c r="E61" s="200"/>
      <c r="F61" s="200"/>
      <c r="G61" s="200"/>
      <c r="H61" s="200"/>
      <c r="I61" s="200"/>
      <c r="J61" s="82"/>
      <c r="K61" s="82"/>
      <c r="L61" s="78"/>
      <c r="M61" s="73"/>
      <c r="N61" s="73"/>
      <c r="O61" s="73"/>
      <c r="P61" s="73"/>
      <c r="Q61" s="73"/>
      <c r="R61" s="73"/>
      <c r="S61" s="73"/>
      <c r="T61" s="73"/>
      <c r="U61" s="73"/>
      <c r="V61" s="73"/>
    </row>
    <row r="62" spans="1:22" s="81" customFormat="1">
      <c r="A62" s="80" t="s">
        <v>454</v>
      </c>
      <c r="B62" s="80"/>
      <c r="C62" s="49" t="s">
        <v>433</v>
      </c>
      <c r="D62" s="92"/>
      <c r="E62" s="200"/>
      <c r="F62" s="200"/>
      <c r="G62" s="200"/>
      <c r="H62" s="200"/>
      <c r="I62" s="200"/>
      <c r="J62" s="82"/>
      <c r="K62" s="82"/>
      <c r="L62" s="78"/>
      <c r="M62" s="73"/>
      <c r="N62" s="73"/>
      <c r="O62" s="73"/>
      <c r="P62" s="73"/>
      <c r="Q62" s="73"/>
      <c r="R62" s="73"/>
      <c r="S62" s="73"/>
      <c r="T62" s="73"/>
      <c r="U62" s="73"/>
      <c r="V62" s="73"/>
    </row>
    <row r="63" spans="1:22" s="81" customFormat="1">
      <c r="A63" s="80" t="s">
        <v>455</v>
      </c>
      <c r="B63" s="80"/>
      <c r="C63" s="229" t="s">
        <v>434</v>
      </c>
      <c r="D63" s="92"/>
      <c r="E63" s="200"/>
      <c r="F63" s="200"/>
      <c r="G63" s="200"/>
      <c r="H63" s="200"/>
      <c r="I63" s="200"/>
      <c r="J63" s="82"/>
      <c r="K63" s="82"/>
      <c r="L63" s="78"/>
      <c r="M63" s="73"/>
      <c r="N63" s="73"/>
      <c r="O63" s="73"/>
      <c r="P63" s="73"/>
      <c r="Q63" s="73"/>
      <c r="R63" s="73"/>
      <c r="S63" s="73"/>
      <c r="T63" s="73"/>
      <c r="U63" s="73"/>
      <c r="V63" s="73"/>
    </row>
    <row r="64" spans="1:22" s="81" customFormat="1">
      <c r="A64" s="80" t="s">
        <v>456</v>
      </c>
      <c r="B64" s="80"/>
      <c r="C64" s="49" t="s">
        <v>435</v>
      </c>
      <c r="D64" s="92"/>
      <c r="E64" s="200"/>
      <c r="F64" s="200"/>
      <c r="G64" s="200"/>
      <c r="H64" s="200"/>
      <c r="I64" s="200"/>
      <c r="J64" s="82"/>
      <c r="K64" s="82"/>
      <c r="L64" s="78"/>
      <c r="M64" s="73"/>
      <c r="N64" s="73"/>
      <c r="O64" s="73"/>
      <c r="P64" s="73"/>
      <c r="Q64" s="73"/>
      <c r="R64" s="73"/>
      <c r="S64" s="73"/>
      <c r="T64" s="73"/>
      <c r="U64" s="73"/>
      <c r="V64" s="73"/>
    </row>
    <row r="65" spans="1:22" s="81" customFormat="1">
      <c r="A65" s="80" t="s">
        <v>557</v>
      </c>
      <c r="B65" s="80"/>
      <c r="C65" s="49" t="s">
        <v>551</v>
      </c>
      <c r="D65" s="92"/>
      <c r="E65" s="200"/>
      <c r="F65" s="200"/>
      <c r="G65" s="200"/>
      <c r="H65" s="200"/>
      <c r="I65" s="200"/>
      <c r="J65" s="82"/>
      <c r="K65" s="82"/>
      <c r="L65" s="78"/>
      <c r="M65" s="73"/>
      <c r="N65" s="73"/>
      <c r="O65" s="73"/>
      <c r="P65" s="73"/>
      <c r="Q65" s="73"/>
      <c r="R65" s="73"/>
      <c r="S65" s="73"/>
      <c r="T65" s="73"/>
      <c r="U65" s="73"/>
      <c r="V65" s="73"/>
    </row>
    <row r="66" spans="1:22" s="81" customFormat="1">
      <c r="A66" s="80" t="s">
        <v>558</v>
      </c>
      <c r="B66" s="80"/>
      <c r="C66" s="49" t="s">
        <v>552</v>
      </c>
      <c r="D66" s="92"/>
      <c r="E66" s="200"/>
      <c r="F66" s="200"/>
      <c r="G66" s="200"/>
      <c r="H66" s="200"/>
      <c r="I66" s="200"/>
      <c r="J66" s="82"/>
      <c r="K66" s="82"/>
      <c r="L66" s="78"/>
      <c r="M66" s="73"/>
      <c r="N66" s="73"/>
      <c r="O66" s="73"/>
      <c r="P66" s="73"/>
      <c r="Q66" s="73"/>
      <c r="R66" s="73"/>
      <c r="S66" s="73"/>
      <c r="T66" s="73"/>
      <c r="U66" s="73"/>
      <c r="V66" s="73"/>
    </row>
    <row r="67" spans="1:22" s="74" customFormat="1">
      <c r="A67" s="496" t="s">
        <v>18</v>
      </c>
      <c r="B67" s="496"/>
      <c r="C67" s="497"/>
      <c r="D67" s="497"/>
      <c r="E67" s="497"/>
      <c r="F67" s="497"/>
      <c r="G67" s="497"/>
      <c r="H67" s="497"/>
      <c r="I67" s="497"/>
      <c r="J67" s="22"/>
      <c r="K67" s="22"/>
      <c r="L67" s="79"/>
      <c r="M67" s="73"/>
      <c r="N67" s="73"/>
      <c r="O67" s="73"/>
      <c r="P67" s="73"/>
      <c r="Q67" s="73"/>
      <c r="R67" s="73"/>
      <c r="S67" s="73"/>
      <c r="T67" s="73"/>
      <c r="U67" s="73"/>
      <c r="V67" s="73"/>
    </row>
    <row r="68" spans="1:22" s="81" customFormat="1">
      <c r="A68" s="80" t="s">
        <v>38</v>
      </c>
      <c r="B68" s="456" t="s">
        <v>180</v>
      </c>
      <c r="C68" s="457"/>
      <c r="D68" s="457"/>
      <c r="E68" s="457"/>
      <c r="F68" s="457"/>
      <c r="G68" s="457"/>
      <c r="H68" s="457"/>
      <c r="I68" s="457"/>
      <c r="J68" s="457"/>
      <c r="K68" s="485"/>
      <c r="L68" s="78"/>
      <c r="M68" s="73"/>
      <c r="N68" s="73"/>
      <c r="O68" s="73"/>
      <c r="P68" s="73"/>
      <c r="Q68" s="73"/>
      <c r="R68" s="73"/>
      <c r="S68" s="73"/>
      <c r="T68" s="73"/>
      <c r="U68" s="73"/>
      <c r="V68" s="73"/>
    </row>
    <row r="69" spans="1:22" s="53" customFormat="1">
      <c r="A69" s="48" t="s">
        <v>39</v>
      </c>
      <c r="B69" s="48"/>
      <c r="C69" s="49" t="s">
        <v>428</v>
      </c>
      <c r="D69" s="50"/>
      <c r="E69" s="47"/>
      <c r="F69" s="47"/>
      <c r="G69" s="47"/>
      <c r="H69" s="47"/>
      <c r="I69" s="47"/>
      <c r="J69" s="47"/>
      <c r="K69" s="47"/>
      <c r="L69" s="11"/>
      <c r="M69" s="11"/>
      <c r="N69" s="11"/>
      <c r="O69" s="11"/>
      <c r="P69" s="11"/>
      <c r="Q69" s="11"/>
      <c r="R69" s="11"/>
      <c r="S69" s="11"/>
      <c r="T69" s="11"/>
    </row>
    <row r="70" spans="1:22" s="53" customFormat="1">
      <c r="A70" s="48" t="s">
        <v>40</v>
      </c>
      <c r="B70" s="48"/>
      <c r="C70" s="49" t="s">
        <v>429</v>
      </c>
      <c r="D70" s="50"/>
      <c r="E70" s="47"/>
      <c r="F70" s="47"/>
      <c r="G70" s="47"/>
      <c r="H70" s="47"/>
      <c r="I70" s="47"/>
      <c r="J70" s="47"/>
      <c r="K70" s="47"/>
      <c r="L70" s="11"/>
      <c r="M70" s="11"/>
      <c r="N70" s="11"/>
      <c r="O70" s="11"/>
      <c r="P70" s="11"/>
      <c r="Q70" s="11"/>
      <c r="R70" s="11"/>
      <c r="S70" s="11"/>
      <c r="T70" s="11"/>
    </row>
    <row r="71" spans="1:22" s="53" customFormat="1">
      <c r="A71" s="48" t="s">
        <v>41</v>
      </c>
      <c r="B71" s="48"/>
      <c r="C71" s="49" t="s">
        <v>430</v>
      </c>
      <c r="D71" s="50"/>
      <c r="E71" s="47"/>
      <c r="F71" s="47"/>
      <c r="G71" s="47"/>
      <c r="H71" s="47"/>
      <c r="I71" s="47"/>
      <c r="J71" s="47"/>
      <c r="K71" s="47"/>
      <c r="L71" s="11"/>
      <c r="M71" s="11"/>
      <c r="N71" s="11"/>
      <c r="O71" s="11"/>
      <c r="P71" s="11"/>
      <c r="Q71" s="11"/>
      <c r="R71" s="11"/>
      <c r="S71" s="11"/>
      <c r="T71" s="11"/>
    </row>
    <row r="72" spans="1:22" s="53" customFormat="1">
      <c r="A72" s="48" t="s">
        <v>42</v>
      </c>
      <c r="B72" s="48"/>
      <c r="C72" s="49" t="s">
        <v>432</v>
      </c>
      <c r="D72" s="50"/>
      <c r="E72" s="47"/>
      <c r="F72" s="47"/>
      <c r="G72" s="47"/>
      <c r="H72" s="47"/>
      <c r="I72" s="47"/>
      <c r="J72" s="47"/>
      <c r="K72" s="47"/>
      <c r="L72" s="11"/>
      <c r="M72" s="11"/>
      <c r="N72" s="11"/>
      <c r="O72" s="11"/>
      <c r="P72" s="11"/>
      <c r="Q72" s="11"/>
      <c r="R72" s="11"/>
      <c r="S72" s="11"/>
      <c r="T72" s="11"/>
    </row>
    <row r="73" spans="1:22" s="53" customFormat="1">
      <c r="A73" s="48" t="s">
        <v>457</v>
      </c>
      <c r="B73" s="48"/>
      <c r="C73" s="49" t="s">
        <v>431</v>
      </c>
      <c r="D73" s="50"/>
      <c r="E73" s="47"/>
      <c r="F73" s="47"/>
      <c r="G73" s="47"/>
      <c r="H73" s="47"/>
      <c r="I73" s="47"/>
      <c r="J73" s="47"/>
      <c r="K73" s="47"/>
      <c r="L73" s="11"/>
      <c r="M73" s="11"/>
      <c r="N73" s="11"/>
      <c r="O73" s="11"/>
      <c r="P73" s="11"/>
      <c r="Q73" s="11"/>
      <c r="R73" s="11"/>
      <c r="S73" s="11"/>
      <c r="T73" s="11"/>
    </row>
    <row r="74" spans="1:22" s="53" customFormat="1">
      <c r="A74" s="48" t="s">
        <v>458</v>
      </c>
      <c r="B74" s="48"/>
      <c r="C74" s="49" t="s">
        <v>433</v>
      </c>
      <c r="D74" s="50"/>
      <c r="E74" s="47"/>
      <c r="F74" s="47"/>
      <c r="G74" s="47"/>
      <c r="H74" s="47"/>
      <c r="I74" s="47"/>
      <c r="J74" s="47"/>
      <c r="K74" s="47"/>
      <c r="L74" s="11"/>
      <c r="M74" s="11"/>
      <c r="N74" s="11"/>
      <c r="O74" s="11"/>
      <c r="P74" s="11"/>
      <c r="Q74" s="11"/>
      <c r="R74" s="11"/>
      <c r="S74" s="11"/>
      <c r="T74" s="11"/>
    </row>
    <row r="75" spans="1:22" s="53" customFormat="1">
      <c r="A75" s="48" t="s">
        <v>459</v>
      </c>
      <c r="B75" s="48"/>
      <c r="C75" s="229" t="s">
        <v>434</v>
      </c>
      <c r="D75" s="50"/>
      <c r="E75" s="47"/>
      <c r="F75" s="47"/>
      <c r="G75" s="47"/>
      <c r="H75" s="47"/>
      <c r="I75" s="47"/>
      <c r="J75" s="47"/>
      <c r="K75" s="47"/>
      <c r="L75" s="11"/>
      <c r="M75" s="11"/>
      <c r="N75" s="11"/>
      <c r="O75" s="11"/>
      <c r="P75" s="11"/>
      <c r="Q75" s="11"/>
      <c r="R75" s="11"/>
      <c r="S75" s="11"/>
      <c r="T75" s="11"/>
    </row>
    <row r="76" spans="1:22" s="53" customFormat="1">
      <c r="A76" s="48" t="s">
        <v>460</v>
      </c>
      <c r="B76" s="48"/>
      <c r="C76" s="49" t="s">
        <v>435</v>
      </c>
      <c r="D76" s="50"/>
      <c r="E76" s="47"/>
      <c r="F76" s="47"/>
      <c r="G76" s="47"/>
      <c r="H76" s="47"/>
      <c r="I76" s="47"/>
      <c r="J76" s="47"/>
      <c r="K76" s="47"/>
      <c r="L76" s="11"/>
      <c r="M76" s="11"/>
      <c r="N76" s="11"/>
      <c r="O76" s="11"/>
      <c r="P76" s="11"/>
      <c r="Q76" s="11"/>
      <c r="R76" s="11"/>
      <c r="S76" s="11"/>
      <c r="T76" s="11"/>
    </row>
    <row r="77" spans="1:22" s="53" customFormat="1">
      <c r="A77" s="48" t="s">
        <v>461</v>
      </c>
      <c r="B77" s="48"/>
      <c r="C77" s="49" t="s">
        <v>551</v>
      </c>
      <c r="D77" s="50"/>
      <c r="E77" s="47"/>
      <c r="F77" s="47"/>
      <c r="G77" s="47"/>
      <c r="H77" s="47"/>
      <c r="I77" s="47"/>
      <c r="J77" s="47"/>
      <c r="K77" s="47"/>
      <c r="L77" s="11"/>
      <c r="M77" s="11"/>
      <c r="N77" s="11"/>
      <c r="O77" s="11"/>
      <c r="P77" s="11"/>
      <c r="Q77" s="11"/>
      <c r="R77" s="11"/>
      <c r="S77" s="11"/>
      <c r="T77" s="11"/>
    </row>
    <row r="78" spans="1:22" s="53" customFormat="1">
      <c r="A78" s="48" t="s">
        <v>462</v>
      </c>
      <c r="B78" s="48"/>
      <c r="C78" s="49" t="s">
        <v>552</v>
      </c>
      <c r="D78" s="50"/>
      <c r="E78" s="47"/>
      <c r="F78" s="47"/>
      <c r="G78" s="47"/>
      <c r="H78" s="47"/>
      <c r="I78" s="47"/>
      <c r="J78" s="47"/>
      <c r="K78" s="47"/>
      <c r="L78" s="11"/>
      <c r="M78" s="11"/>
      <c r="N78" s="11"/>
      <c r="O78" s="11"/>
      <c r="P78" s="11"/>
      <c r="Q78" s="11"/>
      <c r="R78" s="11"/>
      <c r="S78" s="11"/>
      <c r="T78" s="11"/>
    </row>
    <row r="79" spans="1:22" s="74" customFormat="1">
      <c r="A79" s="496" t="s">
        <v>73</v>
      </c>
      <c r="B79" s="496"/>
      <c r="C79" s="497"/>
      <c r="D79" s="497"/>
      <c r="E79" s="497"/>
      <c r="F79" s="497"/>
      <c r="G79" s="497"/>
      <c r="H79" s="497"/>
      <c r="I79" s="497"/>
      <c r="J79" s="22"/>
      <c r="K79" s="22"/>
      <c r="L79" s="79"/>
      <c r="M79" s="73"/>
      <c r="N79" s="73"/>
      <c r="O79" s="73"/>
      <c r="P79" s="73"/>
      <c r="Q79" s="73"/>
      <c r="R79" s="73"/>
      <c r="S79" s="73"/>
      <c r="T79" s="73"/>
      <c r="U79" s="73"/>
      <c r="V79" s="73"/>
    </row>
    <row r="80" spans="1:22" s="53" customFormat="1" ht="15.75" customHeight="1">
      <c r="A80" s="60" t="s">
        <v>68</v>
      </c>
      <c r="B80" s="458" t="s">
        <v>104</v>
      </c>
      <c r="C80" s="459"/>
      <c r="D80" s="459"/>
      <c r="E80" s="459"/>
      <c r="F80" s="459"/>
      <c r="G80" s="459"/>
      <c r="H80" s="459"/>
      <c r="I80" s="459"/>
      <c r="J80" s="459"/>
      <c r="K80" s="473"/>
      <c r="L80" s="77"/>
      <c r="M80" s="11"/>
      <c r="N80" s="11"/>
      <c r="O80" s="11"/>
      <c r="P80" s="11"/>
      <c r="Q80" s="11"/>
      <c r="R80" s="11"/>
      <c r="S80" s="11"/>
      <c r="T80" s="11"/>
    </row>
    <row r="81" spans="1:22" s="53" customFormat="1" ht="15.75" customHeight="1">
      <c r="A81" s="198" t="s">
        <v>69</v>
      </c>
      <c r="B81" s="198"/>
      <c r="C81" s="49" t="s">
        <v>428</v>
      </c>
      <c r="D81" s="50"/>
      <c r="E81" s="54"/>
      <c r="F81" s="54"/>
      <c r="G81" s="54"/>
      <c r="H81" s="54"/>
      <c r="I81" s="54"/>
      <c r="J81" s="54"/>
      <c r="K81" s="54"/>
      <c r="L81" s="11"/>
      <c r="M81" s="11"/>
      <c r="N81" s="11"/>
      <c r="O81" s="11"/>
      <c r="P81" s="11"/>
      <c r="Q81" s="11"/>
      <c r="R81" s="11"/>
      <c r="S81" s="11"/>
      <c r="T81" s="11"/>
    </row>
    <row r="82" spans="1:22" s="53" customFormat="1" ht="15.75" customHeight="1">
      <c r="A82" s="198" t="s">
        <v>70</v>
      </c>
      <c r="B82" s="198"/>
      <c r="C82" s="49" t="s">
        <v>429</v>
      </c>
      <c r="D82" s="50"/>
      <c r="E82" s="54"/>
      <c r="F82" s="54"/>
      <c r="G82" s="54"/>
      <c r="H82" s="54"/>
      <c r="I82" s="54"/>
      <c r="J82" s="54"/>
      <c r="K82" s="54"/>
      <c r="L82" s="11"/>
      <c r="M82" s="11"/>
      <c r="N82" s="11"/>
      <c r="O82" s="11"/>
      <c r="P82" s="11"/>
      <c r="Q82" s="11"/>
      <c r="R82" s="11"/>
      <c r="S82" s="11"/>
      <c r="T82" s="11"/>
    </row>
    <row r="83" spans="1:22" s="53" customFormat="1" ht="15.75" customHeight="1">
      <c r="A83" s="198" t="s">
        <v>71</v>
      </c>
      <c r="B83" s="198"/>
      <c r="C83" s="49" t="s">
        <v>430</v>
      </c>
      <c r="D83" s="50"/>
      <c r="E83" s="54"/>
      <c r="F83" s="54"/>
      <c r="G83" s="54"/>
      <c r="H83" s="54"/>
      <c r="I83" s="54"/>
      <c r="J83" s="54"/>
      <c r="K83" s="54"/>
      <c r="L83" s="11"/>
      <c r="M83" s="11"/>
      <c r="N83" s="11"/>
      <c r="O83" s="11"/>
      <c r="P83" s="11"/>
      <c r="Q83" s="11"/>
      <c r="R83" s="11"/>
      <c r="S83" s="11"/>
      <c r="T83" s="11"/>
    </row>
    <row r="84" spans="1:22" s="53" customFormat="1" ht="15.75" customHeight="1">
      <c r="A84" s="198" t="s">
        <v>72</v>
      </c>
      <c r="B84" s="198"/>
      <c r="C84" s="49" t="s">
        <v>432</v>
      </c>
      <c r="D84" s="50"/>
      <c r="E84" s="54"/>
      <c r="F84" s="54"/>
      <c r="G84" s="54"/>
      <c r="H84" s="54"/>
      <c r="I84" s="54"/>
      <c r="J84" s="54"/>
      <c r="K84" s="54"/>
      <c r="L84" s="11"/>
      <c r="M84" s="11"/>
      <c r="N84" s="11"/>
      <c r="O84" s="11"/>
      <c r="P84" s="11"/>
      <c r="Q84" s="11"/>
      <c r="R84" s="11"/>
      <c r="S84" s="11"/>
      <c r="T84" s="11"/>
    </row>
    <row r="85" spans="1:22" s="53" customFormat="1" ht="15.75" customHeight="1">
      <c r="A85" s="198" t="s">
        <v>74</v>
      </c>
      <c r="B85" s="198"/>
      <c r="C85" s="49" t="s">
        <v>431</v>
      </c>
      <c r="D85" s="50"/>
      <c r="E85" s="54"/>
      <c r="F85" s="54"/>
      <c r="G85" s="54"/>
      <c r="H85" s="54"/>
      <c r="I85" s="54"/>
      <c r="J85" s="54"/>
      <c r="K85" s="54"/>
      <c r="L85" s="11"/>
      <c r="M85" s="11"/>
      <c r="N85" s="11"/>
      <c r="O85" s="11"/>
      <c r="P85" s="11"/>
      <c r="Q85" s="11"/>
      <c r="R85" s="11"/>
      <c r="S85" s="11"/>
      <c r="T85" s="11"/>
    </row>
    <row r="86" spans="1:22" s="53" customFormat="1" ht="15.75" customHeight="1">
      <c r="A86" s="198" t="s">
        <v>75</v>
      </c>
      <c r="B86" s="198"/>
      <c r="C86" s="49" t="s">
        <v>433</v>
      </c>
      <c r="D86" s="50"/>
      <c r="E86" s="54"/>
      <c r="F86" s="54"/>
      <c r="G86" s="54"/>
      <c r="H86" s="54"/>
      <c r="I86" s="54"/>
      <c r="J86" s="54"/>
      <c r="K86" s="54"/>
      <c r="L86" s="11"/>
      <c r="M86" s="11"/>
      <c r="N86" s="11"/>
      <c r="O86" s="11"/>
      <c r="P86" s="11"/>
      <c r="Q86" s="11"/>
      <c r="R86" s="11"/>
      <c r="S86" s="11"/>
      <c r="T86" s="11"/>
    </row>
    <row r="87" spans="1:22" s="53" customFormat="1" ht="15.75" customHeight="1">
      <c r="A87" s="198" t="s">
        <v>76</v>
      </c>
      <c r="B87" s="198"/>
      <c r="C87" s="229" t="s">
        <v>434</v>
      </c>
      <c r="D87" s="50"/>
      <c r="E87" s="54"/>
      <c r="F87" s="54"/>
      <c r="G87" s="54"/>
      <c r="H87" s="54"/>
      <c r="I87" s="54"/>
      <c r="J87" s="54"/>
      <c r="K87" s="54"/>
      <c r="L87" s="11"/>
      <c r="M87" s="11"/>
      <c r="N87" s="11"/>
      <c r="O87" s="11"/>
      <c r="P87" s="11"/>
      <c r="Q87" s="11"/>
      <c r="R87" s="11"/>
      <c r="S87" s="11"/>
      <c r="T87" s="11"/>
    </row>
    <row r="88" spans="1:22" s="53" customFormat="1" ht="15.75" customHeight="1">
      <c r="A88" s="198" t="s">
        <v>77</v>
      </c>
      <c r="B88" s="198"/>
      <c r="C88" s="49" t="s">
        <v>435</v>
      </c>
      <c r="D88" s="50"/>
      <c r="E88" s="54"/>
      <c r="F88" s="54"/>
      <c r="G88" s="54"/>
      <c r="H88" s="54"/>
      <c r="I88" s="54"/>
      <c r="J88" s="54"/>
      <c r="K88" s="54"/>
      <c r="L88" s="11"/>
      <c r="M88" s="11"/>
      <c r="N88" s="11"/>
      <c r="O88" s="11"/>
      <c r="P88" s="11"/>
      <c r="Q88" s="11"/>
      <c r="R88" s="11"/>
      <c r="S88" s="11"/>
      <c r="T88" s="11"/>
    </row>
    <row r="89" spans="1:22" s="53" customFormat="1" ht="15.75" customHeight="1">
      <c r="A89" s="198" t="s">
        <v>78</v>
      </c>
      <c r="B89" s="198"/>
      <c r="C89" s="49" t="s">
        <v>551</v>
      </c>
      <c r="D89" s="50"/>
      <c r="E89" s="54"/>
      <c r="F89" s="54"/>
      <c r="G89" s="54"/>
      <c r="H89" s="54"/>
      <c r="I89" s="54"/>
      <c r="J89" s="54"/>
      <c r="K89" s="54"/>
      <c r="L89" s="11"/>
      <c r="M89" s="11"/>
      <c r="N89" s="11"/>
      <c r="O89" s="11"/>
      <c r="P89" s="11"/>
      <c r="Q89" s="11"/>
      <c r="R89" s="11"/>
      <c r="S89" s="11"/>
      <c r="T89" s="11"/>
    </row>
    <row r="90" spans="1:22" s="53" customFormat="1" ht="15.75" customHeight="1">
      <c r="A90" s="198" t="s">
        <v>79</v>
      </c>
      <c r="B90" s="48"/>
      <c r="C90" s="49" t="s">
        <v>552</v>
      </c>
      <c r="D90" s="50"/>
      <c r="E90" s="54"/>
      <c r="F90" s="54"/>
      <c r="G90" s="54"/>
      <c r="H90" s="54"/>
      <c r="I90" s="54"/>
      <c r="J90" s="54"/>
      <c r="K90" s="54"/>
      <c r="L90" s="11"/>
      <c r="M90" s="11"/>
      <c r="N90" s="11"/>
      <c r="O90" s="11"/>
      <c r="P90" s="11"/>
      <c r="Q90" s="11"/>
      <c r="R90" s="11"/>
      <c r="S90" s="11"/>
      <c r="T90" s="11"/>
    </row>
    <row r="91" spans="1:22" s="53" customFormat="1" ht="15.75" customHeight="1">
      <c r="A91" s="479" t="s">
        <v>43</v>
      </c>
      <c r="B91" s="480"/>
      <c r="C91" s="480"/>
      <c r="D91" s="480"/>
      <c r="E91" s="480"/>
      <c r="F91" s="480"/>
      <c r="G91" s="480"/>
      <c r="H91" s="480"/>
      <c r="I91" s="481"/>
      <c r="J91" s="285"/>
      <c r="K91" s="285"/>
      <c r="L91" s="77"/>
      <c r="M91" s="11"/>
      <c r="N91" s="11"/>
      <c r="O91" s="11"/>
      <c r="P91" s="11"/>
      <c r="Q91" s="11"/>
      <c r="R91" s="11"/>
      <c r="S91" s="11"/>
      <c r="T91" s="11"/>
    </row>
    <row r="92" spans="1:22" s="74" customFormat="1">
      <c r="A92" s="70" t="s">
        <v>44</v>
      </c>
      <c r="B92" s="448" t="s">
        <v>109</v>
      </c>
      <c r="C92" s="449"/>
      <c r="D92" s="449"/>
      <c r="E92" s="449"/>
      <c r="F92" s="449"/>
      <c r="G92" s="449"/>
      <c r="H92" s="449"/>
      <c r="I92" s="449"/>
      <c r="J92" s="449"/>
      <c r="K92" s="449"/>
      <c r="L92" s="78"/>
      <c r="M92" s="73"/>
      <c r="N92" s="73"/>
      <c r="O92" s="73"/>
      <c r="P92" s="73"/>
      <c r="Q92" s="73"/>
      <c r="R92" s="73"/>
      <c r="S92" s="73"/>
      <c r="T92" s="73"/>
      <c r="U92" s="73"/>
      <c r="V92" s="73"/>
    </row>
    <row r="93" spans="1:22" s="81" customFormat="1">
      <c r="A93" s="80" t="s">
        <v>82</v>
      </c>
      <c r="B93" s="80"/>
      <c r="C93" s="49" t="s">
        <v>428</v>
      </c>
      <c r="D93" s="92"/>
      <c r="E93" s="200"/>
      <c r="F93" s="200"/>
      <c r="G93" s="200"/>
      <c r="H93" s="200"/>
      <c r="I93" s="200"/>
      <c r="J93" s="82"/>
      <c r="K93" s="82"/>
      <c r="L93" s="78"/>
      <c r="M93" s="73"/>
      <c r="N93" s="73"/>
      <c r="O93" s="73"/>
      <c r="P93" s="73"/>
      <c r="Q93" s="73"/>
      <c r="R93" s="73"/>
      <c r="S93" s="73"/>
      <c r="T93" s="73"/>
      <c r="U93" s="73"/>
      <c r="V93" s="73"/>
    </row>
    <row r="94" spans="1:22" s="81" customFormat="1">
      <c r="A94" s="80" t="s">
        <v>86</v>
      </c>
      <c r="B94" s="80"/>
      <c r="C94" s="49" t="s">
        <v>429</v>
      </c>
      <c r="D94" s="92"/>
      <c r="E94" s="200"/>
      <c r="F94" s="200"/>
      <c r="G94" s="200"/>
      <c r="H94" s="200"/>
      <c r="I94" s="200"/>
      <c r="J94" s="82"/>
      <c r="K94" s="82"/>
      <c r="L94" s="78"/>
      <c r="M94" s="73"/>
      <c r="N94" s="73"/>
      <c r="O94" s="73"/>
      <c r="P94" s="73"/>
      <c r="Q94" s="73"/>
      <c r="R94" s="73"/>
      <c r="S94" s="73"/>
      <c r="T94" s="73"/>
      <c r="U94" s="73"/>
      <c r="V94" s="73"/>
    </row>
    <row r="95" spans="1:22" s="81" customFormat="1">
      <c r="A95" s="80" t="s">
        <v>110</v>
      </c>
      <c r="B95" s="80"/>
      <c r="C95" s="49" t="s">
        <v>430</v>
      </c>
      <c r="D95" s="92"/>
      <c r="E95" s="200"/>
      <c r="F95" s="200"/>
      <c r="G95" s="200"/>
      <c r="H95" s="200"/>
      <c r="I95" s="200"/>
      <c r="J95" s="82"/>
      <c r="K95" s="82"/>
      <c r="L95" s="78"/>
      <c r="M95" s="73"/>
      <c r="N95" s="73"/>
      <c r="O95" s="73"/>
      <c r="P95" s="73"/>
      <c r="Q95" s="73"/>
      <c r="R95" s="73"/>
      <c r="S95" s="73"/>
      <c r="T95" s="73"/>
      <c r="U95" s="73"/>
      <c r="V95" s="73"/>
    </row>
    <row r="96" spans="1:22" s="81" customFormat="1">
      <c r="A96" s="80" t="s">
        <v>111</v>
      </c>
      <c r="B96" s="80"/>
      <c r="C96" s="49" t="s">
        <v>432</v>
      </c>
      <c r="D96" s="92"/>
      <c r="E96" s="200"/>
      <c r="F96" s="200"/>
      <c r="G96" s="200"/>
      <c r="H96" s="200"/>
      <c r="I96" s="200"/>
      <c r="J96" s="82"/>
      <c r="K96" s="82"/>
      <c r="L96" s="78"/>
      <c r="M96" s="73"/>
      <c r="N96" s="73"/>
      <c r="O96" s="73"/>
      <c r="P96" s="73"/>
      <c r="Q96" s="73"/>
      <c r="R96" s="73"/>
      <c r="S96" s="73"/>
      <c r="T96" s="73"/>
      <c r="U96" s="73"/>
      <c r="V96" s="73"/>
    </row>
    <row r="97" spans="1:22" s="81" customFormat="1">
      <c r="A97" s="80" t="s">
        <v>463</v>
      </c>
      <c r="B97" s="80"/>
      <c r="C97" s="49" t="s">
        <v>431</v>
      </c>
      <c r="D97" s="92"/>
      <c r="E97" s="200"/>
      <c r="F97" s="200"/>
      <c r="G97" s="200"/>
      <c r="H97" s="200"/>
      <c r="I97" s="200"/>
      <c r="J97" s="82"/>
      <c r="K97" s="82"/>
      <c r="L97" s="78"/>
      <c r="M97" s="73"/>
      <c r="N97" s="73"/>
      <c r="O97" s="73"/>
      <c r="P97" s="73"/>
      <c r="Q97" s="73"/>
      <c r="R97" s="73"/>
      <c r="S97" s="73"/>
      <c r="T97" s="73"/>
      <c r="U97" s="73"/>
      <c r="V97" s="73"/>
    </row>
    <row r="98" spans="1:22" s="81" customFormat="1">
      <c r="A98" s="80" t="s">
        <v>464</v>
      </c>
      <c r="B98" s="80"/>
      <c r="C98" s="49" t="s">
        <v>433</v>
      </c>
      <c r="D98" s="92"/>
      <c r="E98" s="200"/>
      <c r="F98" s="200"/>
      <c r="G98" s="200"/>
      <c r="H98" s="200"/>
      <c r="I98" s="200"/>
      <c r="J98" s="82"/>
      <c r="K98" s="82"/>
      <c r="L98" s="78"/>
      <c r="M98" s="73"/>
      <c r="N98" s="73"/>
      <c r="O98" s="73"/>
      <c r="P98" s="73"/>
      <c r="Q98" s="73"/>
      <c r="R98" s="73"/>
      <c r="S98" s="73"/>
      <c r="T98" s="73"/>
      <c r="U98" s="73"/>
      <c r="V98" s="73"/>
    </row>
    <row r="99" spans="1:22" s="81" customFormat="1">
      <c r="A99" s="80" t="s">
        <v>465</v>
      </c>
      <c r="B99" s="80"/>
      <c r="C99" s="229" t="s">
        <v>434</v>
      </c>
      <c r="D99" s="92"/>
      <c r="E99" s="200"/>
      <c r="F99" s="200"/>
      <c r="G99" s="200"/>
      <c r="H99" s="200"/>
      <c r="I99" s="200"/>
      <c r="J99" s="82"/>
      <c r="K99" s="82"/>
      <c r="L99" s="78"/>
      <c r="M99" s="73"/>
      <c r="N99" s="73"/>
      <c r="O99" s="73"/>
      <c r="P99" s="73"/>
      <c r="Q99" s="73"/>
      <c r="R99" s="73"/>
      <c r="S99" s="73"/>
      <c r="T99" s="73"/>
      <c r="U99" s="73"/>
      <c r="V99" s="73"/>
    </row>
    <row r="100" spans="1:22" s="81" customFormat="1">
      <c r="A100" s="80" t="s">
        <v>466</v>
      </c>
      <c r="B100" s="80"/>
      <c r="C100" s="49" t="s">
        <v>435</v>
      </c>
      <c r="D100" s="92"/>
      <c r="E100" s="200"/>
      <c r="F100" s="200"/>
      <c r="G100" s="200"/>
      <c r="H100" s="200"/>
      <c r="I100" s="200"/>
      <c r="J100" s="82"/>
      <c r="K100" s="82"/>
      <c r="L100" s="78"/>
      <c r="M100" s="73"/>
      <c r="N100" s="73"/>
      <c r="O100" s="73"/>
      <c r="P100" s="73"/>
      <c r="Q100" s="73"/>
      <c r="R100" s="73"/>
      <c r="S100" s="73"/>
      <c r="T100" s="73"/>
      <c r="U100" s="73"/>
      <c r="V100" s="73"/>
    </row>
    <row r="101" spans="1:22" s="81" customFormat="1">
      <c r="A101" s="80" t="s">
        <v>559</v>
      </c>
      <c r="B101" s="80"/>
      <c r="C101" s="49" t="s">
        <v>551</v>
      </c>
      <c r="D101" s="92"/>
      <c r="E101" s="200"/>
      <c r="F101" s="200"/>
      <c r="G101" s="200"/>
      <c r="H101" s="200"/>
      <c r="I101" s="200"/>
      <c r="J101" s="82"/>
      <c r="K101" s="82"/>
      <c r="L101" s="78"/>
      <c r="M101" s="73"/>
      <c r="N101" s="73"/>
      <c r="O101" s="73"/>
      <c r="P101" s="73"/>
      <c r="Q101" s="73"/>
      <c r="R101" s="73"/>
      <c r="S101" s="73"/>
      <c r="T101" s="73"/>
      <c r="U101" s="73"/>
      <c r="V101" s="73"/>
    </row>
    <row r="102" spans="1:22" s="81" customFormat="1">
      <c r="A102" s="80" t="s">
        <v>560</v>
      </c>
      <c r="B102" s="80"/>
      <c r="C102" s="49" t="s">
        <v>552</v>
      </c>
      <c r="D102" s="92"/>
      <c r="E102" s="200"/>
      <c r="F102" s="200"/>
      <c r="G102" s="200"/>
      <c r="H102" s="200"/>
      <c r="I102" s="200"/>
      <c r="J102" s="82"/>
      <c r="K102" s="82"/>
      <c r="L102" s="78"/>
      <c r="M102" s="73"/>
      <c r="N102" s="73"/>
      <c r="O102" s="73"/>
      <c r="P102" s="73"/>
      <c r="Q102" s="73"/>
      <c r="R102" s="73"/>
      <c r="S102" s="73"/>
      <c r="T102" s="73"/>
      <c r="U102" s="73"/>
      <c r="V102" s="73"/>
    </row>
    <row r="103" spans="1:22" s="74" customFormat="1">
      <c r="A103" s="462" t="s">
        <v>45</v>
      </c>
      <c r="B103" s="463"/>
      <c r="C103" s="463"/>
      <c r="D103" s="463"/>
      <c r="E103" s="463"/>
      <c r="F103" s="463"/>
      <c r="G103" s="463"/>
      <c r="H103" s="463"/>
      <c r="I103" s="464"/>
      <c r="J103" s="285"/>
      <c r="K103" s="285"/>
      <c r="L103" s="79"/>
      <c r="M103" s="73"/>
      <c r="N103" s="73"/>
      <c r="O103" s="73"/>
      <c r="P103" s="73"/>
      <c r="Q103" s="73"/>
      <c r="R103" s="73"/>
      <c r="S103" s="73"/>
      <c r="T103" s="73"/>
      <c r="U103" s="73"/>
      <c r="V103" s="73"/>
    </row>
    <row r="104" spans="1:22" s="53" customFormat="1">
      <c r="A104" s="48" t="s">
        <v>83</v>
      </c>
      <c r="B104" s="474" t="s">
        <v>6</v>
      </c>
      <c r="C104" s="475"/>
      <c r="D104" s="475"/>
      <c r="E104" s="475"/>
      <c r="F104" s="475"/>
      <c r="G104" s="475"/>
      <c r="H104" s="475"/>
      <c r="I104" s="475"/>
      <c r="J104" s="475"/>
      <c r="K104" s="476"/>
      <c r="L104" s="77"/>
      <c r="M104" s="11"/>
      <c r="N104" s="11"/>
      <c r="O104" s="11"/>
      <c r="P104" s="11"/>
      <c r="Q104" s="11"/>
      <c r="R104" s="11"/>
      <c r="S104" s="11"/>
      <c r="T104" s="11"/>
    </row>
    <row r="105" spans="1:22" s="91" customFormat="1">
      <c r="A105" s="86" t="s">
        <v>343</v>
      </c>
      <c r="B105" s="86"/>
      <c r="C105" s="49" t="s">
        <v>428</v>
      </c>
      <c r="D105" s="87"/>
      <c r="E105" s="88"/>
      <c r="F105" s="89"/>
      <c r="G105" s="54"/>
      <c r="H105" s="89"/>
      <c r="I105" s="54"/>
      <c r="J105" s="54"/>
      <c r="K105" s="54"/>
      <c r="L105" s="90"/>
      <c r="M105" s="90"/>
      <c r="N105" s="90"/>
      <c r="O105" s="90"/>
      <c r="P105" s="90"/>
      <c r="Q105" s="90"/>
      <c r="R105" s="90"/>
      <c r="S105" s="90"/>
      <c r="T105" s="90"/>
    </row>
    <row r="106" spans="1:22" s="91" customFormat="1">
      <c r="A106" s="86" t="s">
        <v>344</v>
      </c>
      <c r="B106" s="86"/>
      <c r="C106" s="49" t="s">
        <v>429</v>
      </c>
      <c r="D106" s="87"/>
      <c r="E106" s="88"/>
      <c r="F106" s="89"/>
      <c r="G106" s="54"/>
      <c r="H106" s="89"/>
      <c r="I106" s="54"/>
      <c r="J106" s="54"/>
      <c r="K106" s="54"/>
      <c r="L106" s="90"/>
      <c r="M106" s="90"/>
      <c r="N106" s="90"/>
      <c r="O106" s="90"/>
      <c r="P106" s="90"/>
      <c r="Q106" s="90"/>
      <c r="R106" s="90"/>
      <c r="S106" s="90"/>
      <c r="T106" s="90"/>
    </row>
    <row r="107" spans="1:22" s="91" customFormat="1">
      <c r="A107" s="86" t="s">
        <v>345</v>
      </c>
      <c r="B107" s="86"/>
      <c r="C107" s="49" t="s">
        <v>430</v>
      </c>
      <c r="D107" s="87"/>
      <c r="E107" s="88"/>
      <c r="F107" s="89"/>
      <c r="G107" s="54"/>
      <c r="H107" s="89"/>
      <c r="I107" s="54"/>
      <c r="J107" s="54"/>
      <c r="K107" s="54"/>
      <c r="L107" s="90"/>
      <c r="M107" s="90"/>
      <c r="N107" s="90"/>
      <c r="O107" s="90"/>
      <c r="P107" s="90"/>
      <c r="Q107" s="90"/>
      <c r="R107" s="90"/>
      <c r="S107" s="90"/>
      <c r="T107" s="90"/>
    </row>
    <row r="108" spans="1:22" s="91" customFormat="1">
      <c r="A108" s="86" t="s">
        <v>346</v>
      </c>
      <c r="B108" s="86"/>
      <c r="C108" s="49" t="s">
        <v>432</v>
      </c>
      <c r="D108" s="87"/>
      <c r="E108" s="88"/>
      <c r="F108" s="89"/>
      <c r="G108" s="54"/>
      <c r="H108" s="89"/>
      <c r="I108" s="54"/>
      <c r="J108" s="54"/>
      <c r="K108" s="54"/>
      <c r="L108" s="90"/>
      <c r="M108" s="90"/>
      <c r="N108" s="90"/>
      <c r="O108" s="90"/>
      <c r="P108" s="90"/>
      <c r="Q108" s="90"/>
      <c r="R108" s="90"/>
      <c r="S108" s="90"/>
      <c r="T108" s="90"/>
    </row>
    <row r="109" spans="1:22" s="91" customFormat="1">
      <c r="A109" s="86" t="s">
        <v>347</v>
      </c>
      <c r="B109" s="86"/>
      <c r="C109" s="49" t="s">
        <v>431</v>
      </c>
      <c r="D109" s="87"/>
      <c r="E109" s="88"/>
      <c r="F109" s="89"/>
      <c r="G109" s="54"/>
      <c r="H109" s="89"/>
      <c r="I109" s="54"/>
      <c r="J109" s="54"/>
      <c r="K109" s="54"/>
      <c r="L109" s="90"/>
      <c r="M109" s="90"/>
      <c r="N109" s="90"/>
      <c r="O109" s="90"/>
      <c r="P109" s="90"/>
      <c r="Q109" s="90"/>
      <c r="R109" s="90"/>
      <c r="S109" s="90"/>
      <c r="T109" s="90"/>
    </row>
    <row r="110" spans="1:22" s="91" customFormat="1">
      <c r="A110" s="86" t="s">
        <v>348</v>
      </c>
      <c r="B110" s="86"/>
      <c r="C110" s="49" t="s">
        <v>433</v>
      </c>
      <c r="D110" s="87"/>
      <c r="E110" s="88"/>
      <c r="F110" s="89"/>
      <c r="G110" s="54"/>
      <c r="H110" s="89"/>
      <c r="I110" s="54"/>
      <c r="J110" s="54"/>
      <c r="K110" s="54"/>
      <c r="L110" s="90"/>
      <c r="M110" s="90"/>
      <c r="N110" s="90"/>
      <c r="O110" s="90"/>
      <c r="P110" s="90"/>
      <c r="Q110" s="90"/>
      <c r="R110" s="90"/>
      <c r="S110" s="90"/>
      <c r="T110" s="90"/>
    </row>
    <row r="111" spans="1:22" s="91" customFormat="1">
      <c r="A111" s="86" t="s">
        <v>349</v>
      </c>
      <c r="B111" s="86"/>
      <c r="C111" s="229" t="s">
        <v>434</v>
      </c>
      <c r="D111" s="87"/>
      <c r="E111" s="88"/>
      <c r="F111" s="89"/>
      <c r="G111" s="54"/>
      <c r="H111" s="89"/>
      <c r="I111" s="54"/>
      <c r="J111" s="54"/>
      <c r="K111" s="54"/>
      <c r="L111" s="90"/>
      <c r="M111" s="90"/>
      <c r="N111" s="90"/>
      <c r="O111" s="90"/>
      <c r="P111" s="90"/>
      <c r="Q111" s="90"/>
      <c r="R111" s="90"/>
      <c r="S111" s="90"/>
      <c r="T111" s="90"/>
    </row>
    <row r="112" spans="1:22" s="91" customFormat="1">
      <c r="A112" s="86" t="s">
        <v>350</v>
      </c>
      <c r="B112" s="86"/>
      <c r="C112" s="49" t="s">
        <v>435</v>
      </c>
      <c r="D112" s="87"/>
      <c r="E112" s="88"/>
      <c r="F112" s="89"/>
      <c r="G112" s="54"/>
      <c r="H112" s="89"/>
      <c r="I112" s="54"/>
      <c r="J112" s="54"/>
      <c r="K112" s="54"/>
      <c r="L112" s="90"/>
      <c r="M112" s="90"/>
      <c r="N112" s="90"/>
      <c r="O112" s="90"/>
      <c r="P112" s="90"/>
      <c r="Q112" s="90"/>
      <c r="R112" s="90"/>
      <c r="S112" s="90"/>
      <c r="T112" s="90"/>
    </row>
    <row r="113" spans="1:20" s="91" customFormat="1">
      <c r="A113" s="86" t="s">
        <v>351</v>
      </c>
      <c r="B113" s="86"/>
      <c r="C113" s="49" t="s">
        <v>551</v>
      </c>
      <c r="D113" s="87"/>
      <c r="E113" s="88"/>
      <c r="F113" s="89"/>
      <c r="G113" s="54"/>
      <c r="H113" s="89"/>
      <c r="I113" s="54"/>
      <c r="J113" s="54"/>
      <c r="K113" s="54"/>
      <c r="L113" s="90"/>
      <c r="M113" s="90"/>
      <c r="N113" s="90"/>
      <c r="O113" s="90"/>
      <c r="P113" s="90"/>
      <c r="Q113" s="90"/>
      <c r="R113" s="90"/>
      <c r="S113" s="90"/>
      <c r="T113" s="90"/>
    </row>
    <row r="114" spans="1:20" s="53" customFormat="1">
      <c r="A114" s="86" t="s">
        <v>386</v>
      </c>
      <c r="B114" s="48"/>
      <c r="C114" s="49" t="s">
        <v>552</v>
      </c>
      <c r="D114" s="56"/>
      <c r="E114" s="57"/>
      <c r="F114" s="58"/>
      <c r="G114" s="47"/>
      <c r="H114" s="58"/>
      <c r="I114" s="47"/>
      <c r="J114" s="47"/>
      <c r="K114" s="47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0">
      <c r="A115" s="479" t="s">
        <v>84</v>
      </c>
      <c r="B115" s="480"/>
      <c r="C115" s="480"/>
      <c r="D115" s="480"/>
      <c r="E115" s="480"/>
      <c r="F115" s="480"/>
      <c r="G115" s="480"/>
      <c r="H115" s="480"/>
      <c r="I115" s="481"/>
      <c r="J115" s="285"/>
      <c r="K115" s="286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0" s="53" customFormat="1">
      <c r="A116" s="60" t="s">
        <v>46</v>
      </c>
      <c r="B116" s="486" t="s">
        <v>112</v>
      </c>
      <c r="C116" s="487"/>
      <c r="D116" s="487"/>
      <c r="E116" s="487"/>
      <c r="F116" s="487"/>
      <c r="G116" s="487"/>
      <c r="H116" s="487"/>
      <c r="I116" s="487"/>
      <c r="J116" s="487"/>
      <c r="K116" s="488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0" s="53" customFormat="1">
      <c r="A117" s="48" t="s">
        <v>352</v>
      </c>
      <c r="B117" s="48"/>
      <c r="C117" s="49" t="s">
        <v>428</v>
      </c>
      <c r="D117" s="217"/>
      <c r="E117" s="218"/>
      <c r="F117" s="47"/>
      <c r="G117" s="47"/>
      <c r="H117" s="47"/>
      <c r="I117" s="47"/>
      <c r="J117" s="47"/>
      <c r="K117" s="47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0" s="53" customFormat="1">
      <c r="A118" s="48" t="s">
        <v>353</v>
      </c>
      <c r="B118" s="48"/>
      <c r="C118" s="49" t="s">
        <v>429</v>
      </c>
      <c r="D118" s="217"/>
      <c r="E118" s="218"/>
      <c r="F118" s="47"/>
      <c r="G118" s="47"/>
      <c r="H118" s="47"/>
      <c r="I118" s="47"/>
      <c r="J118" s="47"/>
      <c r="K118" s="47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0" s="53" customFormat="1">
      <c r="A119" s="48" t="s">
        <v>354</v>
      </c>
      <c r="B119" s="48"/>
      <c r="C119" s="49" t="s">
        <v>430</v>
      </c>
      <c r="D119" s="217"/>
      <c r="E119" s="218"/>
      <c r="F119" s="47"/>
      <c r="G119" s="47"/>
      <c r="H119" s="47"/>
      <c r="I119" s="47"/>
      <c r="J119" s="47"/>
      <c r="K119" s="47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1:20" s="53" customFormat="1">
      <c r="A120" s="48" t="s">
        <v>355</v>
      </c>
      <c r="B120" s="48"/>
      <c r="C120" s="49" t="s">
        <v>432</v>
      </c>
      <c r="D120" s="217"/>
      <c r="E120" s="218"/>
      <c r="F120" s="47"/>
      <c r="G120" s="47"/>
      <c r="H120" s="47"/>
      <c r="I120" s="47"/>
      <c r="J120" s="47"/>
      <c r="K120" s="47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1:20" s="53" customFormat="1">
      <c r="A121" s="48" t="s">
        <v>356</v>
      </c>
      <c r="B121" s="48"/>
      <c r="C121" s="49" t="s">
        <v>431</v>
      </c>
      <c r="D121" s="217"/>
      <c r="E121" s="218"/>
      <c r="F121" s="47"/>
      <c r="G121" s="47"/>
      <c r="H121" s="47"/>
      <c r="I121" s="47"/>
      <c r="J121" s="47"/>
      <c r="K121" s="47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0" s="53" customFormat="1">
      <c r="A122" s="48" t="s">
        <v>357</v>
      </c>
      <c r="B122" s="48"/>
      <c r="C122" s="49" t="s">
        <v>433</v>
      </c>
      <c r="D122" s="217"/>
      <c r="E122" s="218"/>
      <c r="F122" s="47"/>
      <c r="G122" s="47"/>
      <c r="H122" s="47"/>
      <c r="I122" s="47"/>
      <c r="J122" s="47"/>
      <c r="K122" s="47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1:20" s="53" customFormat="1">
      <c r="A123" s="48" t="s">
        <v>358</v>
      </c>
      <c r="B123" s="48"/>
      <c r="C123" s="229" t="s">
        <v>434</v>
      </c>
      <c r="D123" s="217"/>
      <c r="E123" s="218"/>
      <c r="F123" s="47"/>
      <c r="G123" s="47"/>
      <c r="H123" s="47"/>
      <c r="I123" s="47"/>
      <c r="J123" s="47"/>
      <c r="K123" s="47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1:20" s="53" customFormat="1">
      <c r="A124" s="48" t="s">
        <v>467</v>
      </c>
      <c r="B124" s="48"/>
      <c r="C124" s="49" t="s">
        <v>435</v>
      </c>
      <c r="D124" s="217"/>
      <c r="E124" s="218"/>
      <c r="F124" s="47"/>
      <c r="G124" s="47"/>
      <c r="H124" s="47"/>
      <c r="I124" s="220"/>
      <c r="J124" s="47"/>
      <c r="K124" s="47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0" s="53" customFormat="1">
      <c r="A125" s="48" t="s">
        <v>561</v>
      </c>
      <c r="B125" s="48"/>
      <c r="C125" s="49" t="s">
        <v>551</v>
      </c>
      <c r="D125" s="217"/>
      <c r="E125" s="218"/>
      <c r="F125" s="47"/>
      <c r="G125" s="47"/>
      <c r="H125" s="47"/>
      <c r="I125" s="220"/>
      <c r="J125" s="47"/>
      <c r="K125" s="47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1:20" s="53" customFormat="1">
      <c r="A126" s="48" t="s">
        <v>562</v>
      </c>
      <c r="B126" s="48"/>
      <c r="C126" s="49" t="s">
        <v>552</v>
      </c>
      <c r="D126" s="217"/>
      <c r="E126" s="218"/>
      <c r="F126" s="253"/>
      <c r="G126" s="47"/>
      <c r="H126" s="253"/>
      <c r="I126" s="220"/>
      <c r="J126" s="47"/>
      <c r="K126" s="47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20" s="53" customFormat="1">
      <c r="A127" s="482" t="s">
        <v>85</v>
      </c>
      <c r="B127" s="483"/>
      <c r="C127" s="483"/>
      <c r="D127" s="483"/>
      <c r="E127" s="483"/>
      <c r="F127" s="483"/>
      <c r="G127" s="483"/>
      <c r="H127" s="483"/>
      <c r="I127" s="484"/>
      <c r="J127" s="259"/>
      <c r="K127" s="259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1:20" s="53" customFormat="1">
      <c r="A128" s="60" t="s">
        <v>138</v>
      </c>
      <c r="B128" s="489" t="s">
        <v>54</v>
      </c>
      <c r="C128" s="489"/>
      <c r="D128" s="489"/>
      <c r="E128" s="489"/>
      <c r="F128" s="489"/>
      <c r="G128" s="489"/>
      <c r="H128" s="489"/>
      <c r="I128" s="489"/>
      <c r="J128" s="489"/>
      <c r="K128" s="489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0" s="53" customFormat="1">
      <c r="A129" s="48" t="s">
        <v>359</v>
      </c>
      <c r="B129" s="48"/>
      <c r="C129" s="49" t="s">
        <v>428</v>
      </c>
      <c r="D129" s="50"/>
      <c r="E129" s="47"/>
      <c r="F129" s="47"/>
      <c r="G129" s="47"/>
      <c r="H129" s="47"/>
      <c r="I129" s="47"/>
      <c r="J129" s="47"/>
      <c r="K129" s="47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0" s="53" customFormat="1">
      <c r="A130" s="48" t="s">
        <v>360</v>
      </c>
      <c r="B130" s="48"/>
      <c r="C130" s="49" t="s">
        <v>429</v>
      </c>
      <c r="D130" s="50"/>
      <c r="E130" s="47"/>
      <c r="F130" s="47"/>
      <c r="G130" s="47"/>
      <c r="H130" s="47"/>
      <c r="I130" s="47"/>
      <c r="J130" s="47"/>
      <c r="K130" s="47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1:20" s="53" customFormat="1">
      <c r="A131" s="48" t="s">
        <v>361</v>
      </c>
      <c r="B131" s="48"/>
      <c r="C131" s="49" t="s">
        <v>430</v>
      </c>
      <c r="D131" s="50"/>
      <c r="E131" s="47"/>
      <c r="F131" s="47"/>
      <c r="G131" s="47"/>
      <c r="H131" s="47"/>
      <c r="I131" s="47"/>
      <c r="J131" s="47"/>
      <c r="K131" s="47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1:20" s="53" customFormat="1">
      <c r="A132" s="48" t="s">
        <v>362</v>
      </c>
      <c r="B132" s="48"/>
      <c r="C132" s="49" t="s">
        <v>432</v>
      </c>
      <c r="D132" s="50"/>
      <c r="E132" s="47"/>
      <c r="F132" s="47"/>
      <c r="G132" s="47"/>
      <c r="H132" s="47"/>
      <c r="I132" s="47"/>
      <c r="J132" s="47"/>
      <c r="K132" s="47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1:20" s="53" customFormat="1">
      <c r="A133" s="48" t="s">
        <v>363</v>
      </c>
      <c r="B133" s="48"/>
      <c r="C133" s="49" t="s">
        <v>431</v>
      </c>
      <c r="D133" s="50"/>
      <c r="E133" s="47"/>
      <c r="F133" s="47"/>
      <c r="G133" s="47"/>
      <c r="H133" s="47"/>
      <c r="I133" s="47"/>
      <c r="J133" s="47"/>
      <c r="K133" s="47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1:20" s="53" customFormat="1">
      <c r="A134" s="48" t="s">
        <v>364</v>
      </c>
      <c r="B134" s="48"/>
      <c r="C134" s="49" t="s">
        <v>433</v>
      </c>
      <c r="D134" s="50"/>
      <c r="E134" s="47"/>
      <c r="F134" s="47"/>
      <c r="G134" s="47"/>
      <c r="H134" s="47"/>
      <c r="I134" s="47"/>
      <c r="J134" s="47"/>
      <c r="K134" s="47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0" s="53" customFormat="1">
      <c r="A135" s="48" t="s">
        <v>365</v>
      </c>
      <c r="B135" s="48"/>
      <c r="C135" s="229" t="s">
        <v>434</v>
      </c>
      <c r="D135" s="50"/>
      <c r="E135" s="47"/>
      <c r="F135" s="47"/>
      <c r="G135" s="47"/>
      <c r="H135" s="47"/>
      <c r="I135" s="47"/>
      <c r="J135" s="47"/>
      <c r="K135" s="47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1:20" s="53" customFormat="1">
      <c r="A136" s="48" t="s">
        <v>366</v>
      </c>
      <c r="B136" s="48"/>
      <c r="C136" s="49" t="s">
        <v>435</v>
      </c>
      <c r="D136" s="50"/>
      <c r="E136" s="47"/>
      <c r="F136" s="47"/>
      <c r="G136" s="47"/>
      <c r="H136" s="47"/>
      <c r="I136" s="47"/>
      <c r="J136" s="47"/>
      <c r="K136" s="47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1:20" s="53" customFormat="1">
      <c r="A137" s="48" t="s">
        <v>367</v>
      </c>
      <c r="B137" s="48"/>
      <c r="C137" s="49" t="s">
        <v>551</v>
      </c>
      <c r="D137" s="50"/>
      <c r="E137" s="47"/>
      <c r="F137" s="47"/>
      <c r="G137" s="47"/>
      <c r="H137" s="47"/>
      <c r="I137" s="47"/>
      <c r="J137" s="47"/>
      <c r="K137" s="47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1:20" s="53" customFormat="1">
      <c r="A138" s="48" t="s">
        <v>368</v>
      </c>
      <c r="B138" s="48"/>
      <c r="C138" s="49" t="s">
        <v>552</v>
      </c>
      <c r="D138" s="50"/>
      <c r="E138" s="47"/>
      <c r="F138" s="47"/>
      <c r="G138" s="47"/>
      <c r="H138" s="47"/>
      <c r="I138" s="47"/>
      <c r="J138" s="47"/>
      <c r="K138" s="47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20" s="53" customFormat="1">
      <c r="A139" s="48" t="s">
        <v>369</v>
      </c>
      <c r="B139" s="315" t="s">
        <v>707</v>
      </c>
      <c r="C139" s="229" t="s">
        <v>788</v>
      </c>
      <c r="D139" s="230"/>
      <c r="E139" s="214"/>
      <c r="F139" s="214"/>
      <c r="G139" s="214"/>
      <c r="H139" s="214"/>
      <c r="I139" s="214"/>
      <c r="J139" s="214"/>
      <c r="K139" s="214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20" s="323" customFormat="1" ht="11.25">
      <c r="A140" s="317" t="s">
        <v>762</v>
      </c>
      <c r="B140" s="317">
        <v>73610</v>
      </c>
      <c r="C140" s="318" t="s">
        <v>780</v>
      </c>
      <c r="D140" s="317" t="s">
        <v>28</v>
      </c>
      <c r="E140" s="319">
        <v>753</v>
      </c>
      <c r="F140" s="319"/>
      <c r="G140" s="319"/>
      <c r="H140" s="319"/>
      <c r="I140" s="319"/>
      <c r="J140" s="319"/>
      <c r="K140" s="319"/>
    </row>
    <row r="141" spans="1:20" s="323" customFormat="1" ht="11.25">
      <c r="A141" s="317" t="s">
        <v>763</v>
      </c>
      <c r="B141" s="317"/>
      <c r="C141" s="318" t="s">
        <v>789</v>
      </c>
      <c r="D141" s="317" t="s">
        <v>744</v>
      </c>
      <c r="E141" s="319">
        <v>8</v>
      </c>
      <c r="F141" s="319"/>
      <c r="G141" s="319"/>
      <c r="H141" s="319"/>
      <c r="I141" s="319"/>
      <c r="J141" s="319"/>
      <c r="K141" s="319"/>
    </row>
    <row r="142" spans="1:20" s="323" customFormat="1" ht="11.25">
      <c r="A142" s="317" t="s">
        <v>764</v>
      </c>
      <c r="B142" s="317" t="s">
        <v>747</v>
      </c>
      <c r="C142" s="318" t="s">
        <v>790</v>
      </c>
      <c r="D142" s="317" t="s">
        <v>28</v>
      </c>
      <c r="E142" s="319">
        <v>100</v>
      </c>
      <c r="F142" s="319"/>
      <c r="G142" s="319"/>
      <c r="H142" s="319"/>
      <c r="I142" s="319"/>
      <c r="J142" s="319"/>
      <c r="K142" s="319"/>
    </row>
    <row r="143" spans="1:20" s="323" customFormat="1" ht="11.25">
      <c r="A143" s="317" t="s">
        <v>765</v>
      </c>
      <c r="B143" s="317" t="s">
        <v>791</v>
      </c>
      <c r="C143" s="318" t="s">
        <v>792</v>
      </c>
      <c r="D143" s="317" t="s">
        <v>28</v>
      </c>
      <c r="E143" s="319">
        <v>106</v>
      </c>
      <c r="F143" s="319"/>
      <c r="G143" s="319"/>
      <c r="H143" s="319"/>
      <c r="I143" s="319"/>
      <c r="J143" s="319"/>
      <c r="K143" s="319"/>
    </row>
    <row r="144" spans="1:20" s="323" customFormat="1" ht="11.25">
      <c r="A144" s="317" t="s">
        <v>766</v>
      </c>
      <c r="B144" s="317" t="s">
        <v>781</v>
      </c>
      <c r="C144" s="318" t="s">
        <v>782</v>
      </c>
      <c r="D144" s="317" t="s">
        <v>28</v>
      </c>
      <c r="E144" s="319">
        <v>372</v>
      </c>
      <c r="F144" s="319"/>
      <c r="G144" s="319"/>
      <c r="H144" s="319"/>
      <c r="I144" s="319"/>
      <c r="J144" s="319"/>
      <c r="K144" s="319"/>
    </row>
    <row r="145" spans="1:20" s="323" customFormat="1" ht="11.25">
      <c r="A145" s="317" t="s">
        <v>767</v>
      </c>
      <c r="B145" s="317" t="s">
        <v>793</v>
      </c>
      <c r="C145" s="318" t="s">
        <v>794</v>
      </c>
      <c r="D145" s="317" t="s">
        <v>28</v>
      </c>
      <c r="E145" s="319">
        <v>175</v>
      </c>
      <c r="F145" s="319"/>
      <c r="G145" s="319"/>
      <c r="H145" s="319"/>
      <c r="I145" s="319"/>
      <c r="J145" s="319"/>
      <c r="K145" s="319"/>
    </row>
    <row r="146" spans="1:20" s="323" customFormat="1" ht="11.25">
      <c r="A146" s="317" t="s">
        <v>768</v>
      </c>
      <c r="B146" s="317"/>
      <c r="C146" s="318" t="s">
        <v>795</v>
      </c>
      <c r="D146" s="317" t="s">
        <v>744</v>
      </c>
      <c r="E146" s="319">
        <v>1</v>
      </c>
      <c r="F146" s="325"/>
      <c r="G146" s="326"/>
      <c r="H146" s="319"/>
      <c r="I146" s="319"/>
      <c r="J146" s="319"/>
      <c r="K146" s="319"/>
    </row>
    <row r="147" spans="1:20" s="323" customFormat="1" ht="11.25">
      <c r="A147" s="317" t="s">
        <v>769</v>
      </c>
      <c r="B147" s="317"/>
      <c r="C147" s="318" t="s">
        <v>783</v>
      </c>
      <c r="D147" s="317" t="s">
        <v>744</v>
      </c>
      <c r="E147" s="319">
        <v>2</v>
      </c>
      <c r="F147" s="319"/>
      <c r="G147" s="319"/>
      <c r="H147" s="319"/>
      <c r="I147" s="319"/>
      <c r="J147" s="319"/>
      <c r="K147" s="319"/>
    </row>
    <row r="148" spans="1:20" s="323" customFormat="1" ht="11.25">
      <c r="A148" s="317" t="s">
        <v>770</v>
      </c>
      <c r="B148" s="317" t="s">
        <v>784</v>
      </c>
      <c r="C148" s="318" t="s">
        <v>785</v>
      </c>
      <c r="D148" s="317" t="s">
        <v>744</v>
      </c>
      <c r="E148" s="319">
        <v>3</v>
      </c>
      <c r="F148" s="319"/>
      <c r="G148" s="319"/>
      <c r="H148" s="319"/>
      <c r="I148" s="319"/>
      <c r="J148" s="319"/>
      <c r="K148" s="319"/>
    </row>
    <row r="149" spans="1:20" s="323" customFormat="1" ht="11.25">
      <c r="A149" s="317" t="s">
        <v>771</v>
      </c>
      <c r="B149" s="317" t="s">
        <v>796</v>
      </c>
      <c r="C149" s="318" t="s">
        <v>797</v>
      </c>
      <c r="D149" s="317" t="s">
        <v>744</v>
      </c>
      <c r="E149" s="319">
        <v>1</v>
      </c>
      <c r="F149" s="319"/>
      <c r="G149" s="319"/>
      <c r="H149" s="319"/>
      <c r="I149" s="319"/>
      <c r="J149" s="319"/>
      <c r="K149" s="319"/>
    </row>
    <row r="150" spans="1:20" s="323" customFormat="1" ht="11.25">
      <c r="A150" s="317" t="s">
        <v>772</v>
      </c>
      <c r="B150" s="317" t="s">
        <v>798</v>
      </c>
      <c r="C150" s="318" t="s">
        <v>799</v>
      </c>
      <c r="D150" s="317" t="s">
        <v>744</v>
      </c>
      <c r="E150" s="319">
        <v>2</v>
      </c>
      <c r="F150" s="319"/>
      <c r="G150" s="319"/>
      <c r="H150" s="319"/>
      <c r="I150" s="319"/>
      <c r="J150" s="319"/>
      <c r="K150" s="319"/>
      <c r="M150" s="324"/>
    </row>
    <row r="151" spans="1:20" s="323" customFormat="1" ht="11.25">
      <c r="A151" s="317" t="s">
        <v>773</v>
      </c>
      <c r="B151" s="317"/>
      <c r="C151" s="318" t="s">
        <v>800</v>
      </c>
      <c r="D151" s="317" t="s">
        <v>744</v>
      </c>
      <c r="E151" s="319">
        <v>1</v>
      </c>
      <c r="F151" s="319"/>
      <c r="G151" s="319"/>
      <c r="H151" s="319"/>
      <c r="I151" s="319"/>
      <c r="J151" s="319"/>
      <c r="K151" s="319"/>
    </row>
    <row r="152" spans="1:20" s="323" customFormat="1" ht="11.25">
      <c r="A152" s="317" t="s">
        <v>774</v>
      </c>
      <c r="B152" s="317"/>
      <c r="C152" s="318" t="s">
        <v>756</v>
      </c>
      <c r="D152" s="317" t="s">
        <v>744</v>
      </c>
      <c r="E152" s="319">
        <v>1</v>
      </c>
      <c r="F152" s="319"/>
      <c r="G152" s="319"/>
      <c r="H152" s="319"/>
      <c r="I152" s="319"/>
      <c r="J152" s="319"/>
      <c r="K152" s="319"/>
      <c r="M152" s="324"/>
    </row>
    <row r="153" spans="1:20" s="323" customFormat="1" ht="11.25">
      <c r="A153" s="317" t="s">
        <v>775</v>
      </c>
      <c r="B153" s="317"/>
      <c r="C153" s="318" t="s">
        <v>801</v>
      </c>
      <c r="D153" s="317" t="s">
        <v>744</v>
      </c>
      <c r="E153" s="319">
        <v>2</v>
      </c>
      <c r="F153" s="319"/>
      <c r="G153" s="319"/>
      <c r="H153" s="319"/>
      <c r="I153" s="319"/>
      <c r="J153" s="319"/>
      <c r="K153" s="319"/>
    </row>
    <row r="154" spans="1:20" s="323" customFormat="1" ht="11.25">
      <c r="A154" s="317" t="s">
        <v>776</v>
      </c>
      <c r="B154" s="317"/>
      <c r="C154" s="320" t="s">
        <v>802</v>
      </c>
      <c r="D154" s="327" t="s">
        <v>28</v>
      </c>
      <c r="E154" s="326">
        <v>1100</v>
      </c>
      <c r="F154" s="325"/>
      <c r="G154" s="326"/>
      <c r="H154" s="319"/>
      <c r="I154" s="319"/>
      <c r="J154" s="319"/>
      <c r="K154" s="319"/>
    </row>
    <row r="155" spans="1:20" s="53" customFormat="1">
      <c r="A155" s="48" t="s">
        <v>370</v>
      </c>
      <c r="B155" s="315" t="s">
        <v>707</v>
      </c>
      <c r="C155" s="229" t="s">
        <v>779</v>
      </c>
      <c r="D155" s="230"/>
      <c r="E155" s="214"/>
      <c r="F155" s="214"/>
      <c r="G155" s="214"/>
      <c r="H155" s="214"/>
      <c r="I155" s="214"/>
      <c r="J155" s="214"/>
      <c r="K155" s="214"/>
      <c r="L155" s="11"/>
      <c r="M155" s="11"/>
      <c r="N155" s="11"/>
      <c r="O155" s="11"/>
      <c r="P155" s="11"/>
      <c r="Q155" s="11"/>
      <c r="R155" s="11"/>
      <c r="S155" s="11"/>
      <c r="T155" s="11"/>
    </row>
    <row r="156" spans="1:20" s="313" customFormat="1" ht="12.75">
      <c r="A156" s="317" t="s">
        <v>803</v>
      </c>
      <c r="B156" s="317">
        <v>73610</v>
      </c>
      <c r="C156" s="318" t="s">
        <v>780</v>
      </c>
      <c r="D156" s="317" t="s">
        <v>28</v>
      </c>
      <c r="E156" s="319">
        <v>1045</v>
      </c>
      <c r="F156" s="314"/>
      <c r="G156" s="314"/>
      <c r="H156" s="314"/>
      <c r="I156" s="314"/>
      <c r="J156" s="314"/>
      <c r="K156" s="314"/>
    </row>
    <row r="157" spans="1:20" s="313" customFormat="1" ht="12.75">
      <c r="A157" s="317" t="s">
        <v>804</v>
      </c>
      <c r="B157" s="317" t="s">
        <v>781</v>
      </c>
      <c r="C157" s="318" t="s">
        <v>782</v>
      </c>
      <c r="D157" s="317" t="s">
        <v>28</v>
      </c>
      <c r="E157" s="319">
        <v>1045</v>
      </c>
      <c r="F157" s="314"/>
      <c r="G157" s="314"/>
      <c r="H157" s="314"/>
      <c r="I157" s="314"/>
      <c r="J157" s="314"/>
      <c r="K157" s="314"/>
    </row>
    <row r="158" spans="1:20" s="313" customFormat="1" ht="12.75">
      <c r="A158" s="317" t="s">
        <v>805</v>
      </c>
      <c r="B158" s="317"/>
      <c r="C158" s="318" t="s">
        <v>783</v>
      </c>
      <c r="D158" s="317" t="s">
        <v>744</v>
      </c>
      <c r="E158" s="319">
        <v>2</v>
      </c>
      <c r="F158" s="314"/>
      <c r="G158" s="314"/>
      <c r="H158" s="314"/>
      <c r="I158" s="314"/>
      <c r="J158" s="314"/>
      <c r="K158" s="314"/>
    </row>
    <row r="159" spans="1:20" s="313" customFormat="1" ht="12.75">
      <c r="A159" s="317" t="s">
        <v>806</v>
      </c>
      <c r="B159" s="317" t="s">
        <v>784</v>
      </c>
      <c r="C159" s="318" t="s">
        <v>785</v>
      </c>
      <c r="D159" s="317" t="s">
        <v>744</v>
      </c>
      <c r="E159" s="319">
        <v>2</v>
      </c>
      <c r="F159" s="314"/>
      <c r="G159" s="314"/>
      <c r="H159" s="314"/>
      <c r="I159" s="314"/>
      <c r="J159" s="314"/>
      <c r="K159" s="314"/>
    </row>
    <row r="160" spans="1:20" s="313" customFormat="1" ht="12.75">
      <c r="A160" s="317" t="s">
        <v>807</v>
      </c>
      <c r="B160" s="317"/>
      <c r="C160" s="318" t="s">
        <v>786</v>
      </c>
      <c r="D160" s="317" t="s">
        <v>744</v>
      </c>
      <c r="E160" s="319">
        <v>8</v>
      </c>
      <c r="F160" s="314"/>
      <c r="G160" s="314"/>
      <c r="H160" s="314"/>
      <c r="I160" s="314"/>
      <c r="J160" s="314"/>
      <c r="K160" s="314"/>
    </row>
    <row r="161" spans="1:20" s="313" customFormat="1" ht="12.75">
      <c r="A161" s="317" t="s">
        <v>808</v>
      </c>
      <c r="B161" s="317"/>
      <c r="C161" s="320" t="s">
        <v>787</v>
      </c>
      <c r="D161" s="317" t="s">
        <v>744</v>
      </c>
      <c r="E161" s="319">
        <v>1</v>
      </c>
      <c r="F161" s="321"/>
      <c r="G161" s="322"/>
      <c r="H161" s="314"/>
      <c r="I161" s="314"/>
      <c r="J161" s="314"/>
      <c r="K161" s="314"/>
    </row>
    <row r="162" spans="1:20" s="53" customFormat="1">
      <c r="A162" s="48" t="s">
        <v>371</v>
      </c>
      <c r="B162" s="315" t="s">
        <v>707</v>
      </c>
      <c r="C162" s="229" t="s">
        <v>777</v>
      </c>
      <c r="D162" s="230"/>
      <c r="E162" s="214"/>
      <c r="F162" s="214"/>
      <c r="G162" s="214"/>
      <c r="H162" s="214"/>
      <c r="I162" s="214"/>
      <c r="J162" s="214"/>
      <c r="K162" s="214"/>
      <c r="L162" s="11"/>
      <c r="M162" s="11"/>
      <c r="N162" s="11"/>
      <c r="O162" s="11"/>
      <c r="P162" s="11"/>
      <c r="Q162" s="11"/>
      <c r="R162" s="11"/>
      <c r="S162" s="11"/>
      <c r="T162" s="11"/>
    </row>
    <row r="163" spans="1:20" s="313" customFormat="1" ht="12.75">
      <c r="A163" s="316" t="s">
        <v>809</v>
      </c>
      <c r="B163" s="317">
        <v>73610</v>
      </c>
      <c r="C163" s="318" t="s">
        <v>743</v>
      </c>
      <c r="D163" s="317" t="s">
        <v>28</v>
      </c>
      <c r="E163" s="319">
        <v>405</v>
      </c>
      <c r="F163" s="314"/>
      <c r="G163" s="314"/>
      <c r="H163" s="314"/>
      <c r="I163" s="314"/>
      <c r="J163" s="314"/>
      <c r="K163" s="314"/>
    </row>
    <row r="164" spans="1:20" s="313" customFormat="1" ht="12.75">
      <c r="A164" s="316" t="s">
        <v>810</v>
      </c>
      <c r="B164" s="317"/>
      <c r="C164" s="318" t="s">
        <v>778</v>
      </c>
      <c r="D164" s="317" t="s">
        <v>744</v>
      </c>
      <c r="E164" s="319">
        <v>15</v>
      </c>
      <c r="F164" s="314"/>
      <c r="G164" s="314"/>
      <c r="H164" s="314"/>
      <c r="I164" s="314"/>
      <c r="J164" s="314"/>
      <c r="K164" s="314"/>
    </row>
    <row r="165" spans="1:20" s="313" customFormat="1" ht="12.75">
      <c r="A165" s="316" t="s">
        <v>811</v>
      </c>
      <c r="B165" s="317" t="s">
        <v>745</v>
      </c>
      <c r="C165" s="318" t="s">
        <v>746</v>
      </c>
      <c r="D165" s="317" t="s">
        <v>744</v>
      </c>
      <c r="E165" s="319">
        <v>2</v>
      </c>
      <c r="F165" s="314"/>
      <c r="G165" s="314"/>
      <c r="H165" s="314"/>
      <c r="I165" s="314"/>
      <c r="J165" s="314"/>
      <c r="K165" s="314"/>
    </row>
    <row r="166" spans="1:20" s="313" customFormat="1" ht="12.75">
      <c r="A166" s="316" t="s">
        <v>812</v>
      </c>
      <c r="B166" s="317" t="s">
        <v>747</v>
      </c>
      <c r="C166" s="318" t="s">
        <v>748</v>
      </c>
      <c r="D166" s="317" t="s">
        <v>28</v>
      </c>
      <c r="E166" s="319">
        <v>405</v>
      </c>
      <c r="F166" s="314"/>
      <c r="G166" s="314"/>
      <c r="H166" s="314"/>
      <c r="I166" s="314"/>
      <c r="J166" s="314"/>
      <c r="K166" s="314"/>
    </row>
    <row r="167" spans="1:20" s="313" customFormat="1" ht="12.75">
      <c r="A167" s="316" t="s">
        <v>813</v>
      </c>
      <c r="B167" s="317"/>
      <c r="C167" s="318" t="s">
        <v>749</v>
      </c>
      <c r="D167" s="317" t="s">
        <v>744</v>
      </c>
      <c r="E167" s="319">
        <v>1</v>
      </c>
      <c r="F167" s="314"/>
      <c r="G167" s="314"/>
      <c r="H167" s="314"/>
      <c r="I167" s="314"/>
      <c r="J167" s="314"/>
      <c r="K167" s="314"/>
    </row>
    <row r="168" spans="1:20" s="313" customFormat="1" ht="12.75">
      <c r="A168" s="316" t="s">
        <v>814</v>
      </c>
      <c r="B168" s="317"/>
      <c r="C168" s="318" t="s">
        <v>750</v>
      </c>
      <c r="D168" s="317" t="s">
        <v>744</v>
      </c>
      <c r="E168" s="319">
        <v>1</v>
      </c>
      <c r="F168" s="314"/>
      <c r="G168" s="314"/>
      <c r="H168" s="314"/>
      <c r="I168" s="314"/>
      <c r="J168" s="314"/>
      <c r="K168" s="314"/>
    </row>
    <row r="169" spans="1:20" s="313" customFormat="1" ht="12.75">
      <c r="A169" s="316" t="s">
        <v>815</v>
      </c>
      <c r="B169" s="317"/>
      <c r="C169" s="318" t="s">
        <v>751</v>
      </c>
      <c r="D169" s="317" t="s">
        <v>744</v>
      </c>
      <c r="E169" s="319">
        <v>1</v>
      </c>
      <c r="F169" s="314"/>
      <c r="G169" s="314"/>
      <c r="H169" s="314"/>
      <c r="I169" s="314"/>
      <c r="J169" s="314"/>
      <c r="K169" s="314"/>
    </row>
    <row r="170" spans="1:20" s="313" customFormat="1" ht="12.75">
      <c r="A170" s="316" t="s">
        <v>816</v>
      </c>
      <c r="B170" s="317"/>
      <c r="C170" s="318" t="s">
        <v>752</v>
      </c>
      <c r="D170" s="317" t="s">
        <v>744</v>
      </c>
      <c r="E170" s="319">
        <v>1</v>
      </c>
      <c r="F170" s="314"/>
      <c r="G170" s="314"/>
      <c r="H170" s="314"/>
      <c r="I170" s="314"/>
      <c r="J170" s="314"/>
      <c r="K170" s="314"/>
    </row>
    <row r="171" spans="1:20" s="313" customFormat="1" ht="12.75">
      <c r="A171" s="316" t="s">
        <v>817</v>
      </c>
      <c r="B171" s="317"/>
      <c r="C171" s="318" t="s">
        <v>753</v>
      </c>
      <c r="D171" s="317" t="s">
        <v>744</v>
      </c>
      <c r="E171" s="319">
        <v>1</v>
      </c>
      <c r="F171" s="314"/>
      <c r="G171" s="314"/>
      <c r="H171" s="314"/>
      <c r="I171" s="314"/>
      <c r="J171" s="314"/>
      <c r="K171" s="314"/>
    </row>
    <row r="172" spans="1:20" s="313" customFormat="1" ht="12.75">
      <c r="A172" s="316" t="s">
        <v>818</v>
      </c>
      <c r="B172" s="317"/>
      <c r="C172" s="318" t="s">
        <v>754</v>
      </c>
      <c r="D172" s="317" t="s">
        <v>744</v>
      </c>
      <c r="E172" s="319">
        <v>1</v>
      </c>
      <c r="F172" s="314"/>
      <c r="G172" s="314"/>
      <c r="H172" s="314"/>
      <c r="I172" s="314"/>
      <c r="J172" s="314"/>
      <c r="K172" s="314"/>
    </row>
    <row r="173" spans="1:20" s="313" customFormat="1" ht="12.75">
      <c r="A173" s="316" t="s">
        <v>819</v>
      </c>
      <c r="B173" s="317"/>
      <c r="C173" s="318" t="s">
        <v>755</v>
      </c>
      <c r="D173" s="317" t="s">
        <v>744</v>
      </c>
      <c r="E173" s="319">
        <v>6</v>
      </c>
      <c r="F173" s="314"/>
      <c r="G173" s="314"/>
      <c r="H173" s="314"/>
      <c r="I173" s="314"/>
      <c r="J173" s="314"/>
      <c r="K173" s="314"/>
    </row>
    <row r="174" spans="1:20" s="313" customFormat="1" ht="12.75">
      <c r="A174" s="316" t="s">
        <v>820</v>
      </c>
      <c r="B174" s="317"/>
      <c r="C174" s="318" t="s">
        <v>756</v>
      </c>
      <c r="D174" s="317" t="s">
        <v>744</v>
      </c>
      <c r="E174" s="319">
        <v>2</v>
      </c>
      <c r="F174" s="314"/>
      <c r="G174" s="314"/>
      <c r="H174" s="314"/>
      <c r="I174" s="314"/>
      <c r="J174" s="314"/>
      <c r="K174" s="314"/>
    </row>
    <row r="175" spans="1:20" s="313" customFormat="1" ht="12.75">
      <c r="A175" s="316" t="s">
        <v>821</v>
      </c>
      <c r="B175" s="317"/>
      <c r="C175" s="318" t="s">
        <v>757</v>
      </c>
      <c r="D175" s="317" t="s">
        <v>744</v>
      </c>
      <c r="E175" s="319">
        <v>2</v>
      </c>
      <c r="F175" s="314"/>
      <c r="G175" s="314"/>
      <c r="H175" s="314"/>
      <c r="I175" s="314"/>
      <c r="J175" s="314"/>
      <c r="K175" s="314"/>
    </row>
    <row r="176" spans="1:20" s="313" customFormat="1" ht="12.75">
      <c r="A176" s="316" t="s">
        <v>822</v>
      </c>
      <c r="B176" s="317"/>
      <c r="C176" s="318" t="s">
        <v>758</v>
      </c>
      <c r="D176" s="317" t="s">
        <v>744</v>
      </c>
      <c r="E176" s="319">
        <v>2</v>
      </c>
      <c r="F176" s="314"/>
      <c r="G176" s="314"/>
      <c r="H176" s="314"/>
      <c r="I176" s="314"/>
      <c r="J176" s="314"/>
      <c r="K176" s="314"/>
    </row>
    <row r="177" spans="1:22" s="313" customFormat="1" ht="12.75">
      <c r="A177" s="316" t="s">
        <v>823</v>
      </c>
      <c r="B177" s="317"/>
      <c r="C177" s="318" t="s">
        <v>759</v>
      </c>
      <c r="D177" s="317" t="s">
        <v>744</v>
      </c>
      <c r="E177" s="319">
        <v>1</v>
      </c>
      <c r="F177" s="314"/>
      <c r="G177" s="314"/>
      <c r="H177" s="314"/>
      <c r="I177" s="314"/>
      <c r="J177" s="314"/>
      <c r="K177" s="314"/>
    </row>
    <row r="178" spans="1:22" s="313" customFormat="1" ht="12.75">
      <c r="A178" s="316" t="s">
        <v>824</v>
      </c>
      <c r="B178" s="317"/>
      <c r="C178" s="318" t="s">
        <v>760</v>
      </c>
      <c r="D178" s="317" t="s">
        <v>744</v>
      </c>
      <c r="E178" s="319">
        <v>1</v>
      </c>
      <c r="F178" s="314"/>
      <c r="G178" s="314"/>
      <c r="H178" s="314"/>
      <c r="I178" s="314"/>
      <c r="J178" s="314"/>
      <c r="K178" s="314"/>
    </row>
    <row r="179" spans="1:22" s="313" customFormat="1" ht="12.75">
      <c r="A179" s="316" t="s">
        <v>825</v>
      </c>
      <c r="B179" s="317"/>
      <c r="C179" s="318" t="s">
        <v>761</v>
      </c>
      <c r="D179" s="317" t="s">
        <v>744</v>
      </c>
      <c r="E179" s="319">
        <v>1</v>
      </c>
      <c r="F179" s="314"/>
      <c r="G179" s="314"/>
      <c r="H179" s="314"/>
      <c r="I179" s="314"/>
      <c r="J179" s="314"/>
      <c r="K179" s="314"/>
    </row>
    <row r="180" spans="1:22">
      <c r="A180" s="479" t="s">
        <v>139</v>
      </c>
      <c r="B180" s="480"/>
      <c r="C180" s="480"/>
      <c r="D180" s="480"/>
      <c r="E180" s="480"/>
      <c r="F180" s="480"/>
      <c r="G180" s="480"/>
      <c r="H180" s="480"/>
      <c r="I180" s="481"/>
      <c r="J180" s="285"/>
      <c r="K180" s="286"/>
      <c r="L180" s="11"/>
      <c r="M180" s="11"/>
      <c r="N180" s="11"/>
      <c r="O180" s="11"/>
      <c r="P180" s="11"/>
      <c r="Q180" s="11"/>
      <c r="R180" s="11"/>
      <c r="S180" s="11"/>
      <c r="T180" s="11"/>
    </row>
    <row r="181" spans="1:22" s="74" customFormat="1">
      <c r="A181" s="70" t="s">
        <v>113</v>
      </c>
      <c r="B181" s="477" t="s">
        <v>114</v>
      </c>
      <c r="C181" s="478"/>
      <c r="D181" s="478"/>
      <c r="E181" s="478"/>
      <c r="F181" s="478"/>
      <c r="G181" s="478"/>
      <c r="H181" s="478"/>
      <c r="I181" s="478"/>
      <c r="J181" s="478"/>
      <c r="K181" s="478"/>
      <c r="L181" s="78"/>
      <c r="M181" s="73"/>
      <c r="N181" s="73"/>
      <c r="O181" s="73"/>
      <c r="P181" s="73"/>
      <c r="Q181" s="73"/>
      <c r="R181" s="73"/>
      <c r="S181" s="73"/>
      <c r="T181" s="73"/>
      <c r="U181" s="73"/>
      <c r="V181" s="73"/>
    </row>
    <row r="182" spans="1:22" s="81" customFormat="1">
      <c r="A182" s="80" t="s">
        <v>115</v>
      </c>
      <c r="B182" s="80"/>
      <c r="C182" s="49" t="s">
        <v>428</v>
      </c>
      <c r="D182" s="92"/>
      <c r="E182" s="200"/>
      <c r="F182" s="200"/>
      <c r="G182" s="200"/>
      <c r="H182" s="200"/>
      <c r="I182" s="200"/>
      <c r="J182" s="82"/>
      <c r="K182" s="82"/>
      <c r="L182" s="78"/>
      <c r="M182" s="73"/>
      <c r="N182" s="73"/>
      <c r="O182" s="73"/>
      <c r="P182" s="73"/>
      <c r="Q182" s="73"/>
      <c r="R182" s="73"/>
      <c r="S182" s="73"/>
      <c r="T182" s="73"/>
      <c r="U182" s="73"/>
      <c r="V182" s="73"/>
    </row>
    <row r="183" spans="1:22" s="81" customFormat="1">
      <c r="A183" s="80" t="s">
        <v>116</v>
      </c>
      <c r="B183" s="80"/>
      <c r="C183" s="49" t="s">
        <v>429</v>
      </c>
      <c r="D183" s="92"/>
      <c r="E183" s="200"/>
      <c r="F183" s="200"/>
      <c r="G183" s="200"/>
      <c r="H183" s="200"/>
      <c r="I183" s="200"/>
      <c r="J183" s="82"/>
      <c r="K183" s="82"/>
      <c r="L183" s="78"/>
      <c r="M183" s="73"/>
      <c r="N183" s="73"/>
      <c r="O183" s="73"/>
      <c r="P183" s="73"/>
      <c r="Q183" s="73"/>
      <c r="R183" s="73"/>
      <c r="S183" s="73"/>
      <c r="T183" s="73"/>
      <c r="U183" s="73"/>
      <c r="V183" s="73"/>
    </row>
    <row r="184" spans="1:22" s="81" customFormat="1">
      <c r="A184" s="80" t="s">
        <v>468</v>
      </c>
      <c r="B184" s="80"/>
      <c r="C184" s="49" t="s">
        <v>430</v>
      </c>
      <c r="D184" s="92"/>
      <c r="E184" s="200"/>
      <c r="F184" s="200"/>
      <c r="G184" s="200"/>
      <c r="H184" s="200"/>
      <c r="I184" s="200"/>
      <c r="J184" s="82"/>
      <c r="K184" s="82"/>
      <c r="L184" s="78"/>
      <c r="M184" s="73"/>
      <c r="N184" s="73"/>
      <c r="O184" s="73"/>
      <c r="P184" s="73"/>
      <c r="Q184" s="73"/>
      <c r="R184" s="73"/>
      <c r="S184" s="73"/>
      <c r="T184" s="73"/>
      <c r="U184" s="73"/>
      <c r="V184" s="73"/>
    </row>
    <row r="185" spans="1:22" s="81" customFormat="1">
      <c r="A185" s="80" t="s">
        <v>469</v>
      </c>
      <c r="B185" s="80"/>
      <c r="C185" s="49" t="s">
        <v>432</v>
      </c>
      <c r="D185" s="92"/>
      <c r="E185" s="200"/>
      <c r="F185" s="200"/>
      <c r="G185" s="200"/>
      <c r="H185" s="200"/>
      <c r="I185" s="200"/>
      <c r="J185" s="82"/>
      <c r="K185" s="82"/>
      <c r="L185" s="78"/>
      <c r="M185" s="73"/>
      <c r="N185" s="73"/>
      <c r="O185" s="73"/>
      <c r="P185" s="73"/>
      <c r="Q185" s="73"/>
      <c r="R185" s="73"/>
      <c r="S185" s="73"/>
      <c r="T185" s="73"/>
      <c r="U185" s="73"/>
      <c r="V185" s="73"/>
    </row>
    <row r="186" spans="1:22" s="81" customFormat="1">
      <c r="A186" s="80" t="s">
        <v>470</v>
      </c>
      <c r="B186" s="80"/>
      <c r="C186" s="49" t="s">
        <v>431</v>
      </c>
      <c r="D186" s="92"/>
      <c r="E186" s="200"/>
      <c r="F186" s="200"/>
      <c r="G186" s="200"/>
      <c r="H186" s="200"/>
      <c r="I186" s="200"/>
      <c r="J186" s="82"/>
      <c r="K186" s="82"/>
      <c r="L186" s="78"/>
      <c r="M186" s="73"/>
      <c r="N186" s="73"/>
      <c r="O186" s="73"/>
      <c r="P186" s="73"/>
      <c r="Q186" s="73"/>
      <c r="R186" s="73"/>
      <c r="S186" s="73"/>
      <c r="T186" s="73"/>
      <c r="U186" s="73"/>
      <c r="V186" s="73"/>
    </row>
    <row r="187" spans="1:22" s="81" customFormat="1">
      <c r="A187" s="80" t="s">
        <v>471</v>
      </c>
      <c r="B187" s="80"/>
      <c r="C187" s="49" t="s">
        <v>433</v>
      </c>
      <c r="D187" s="92"/>
      <c r="E187" s="200"/>
      <c r="F187" s="200"/>
      <c r="G187" s="200"/>
      <c r="H187" s="200"/>
      <c r="I187" s="200"/>
      <c r="J187" s="82"/>
      <c r="K187" s="82"/>
      <c r="L187" s="78"/>
      <c r="M187" s="73"/>
      <c r="N187" s="73"/>
      <c r="O187" s="73"/>
      <c r="P187" s="73"/>
      <c r="Q187" s="73"/>
      <c r="R187" s="73"/>
      <c r="S187" s="73"/>
      <c r="T187" s="73"/>
      <c r="U187" s="73"/>
      <c r="V187" s="73"/>
    </row>
    <row r="188" spans="1:22" s="81" customFormat="1">
      <c r="A188" s="80" t="s">
        <v>472</v>
      </c>
      <c r="B188" s="80"/>
      <c r="C188" s="229" t="s">
        <v>434</v>
      </c>
      <c r="D188" s="92"/>
      <c r="E188" s="200"/>
      <c r="F188" s="200"/>
      <c r="G188" s="200"/>
      <c r="H188" s="200"/>
      <c r="I188" s="200"/>
      <c r="J188" s="82"/>
      <c r="K188" s="82"/>
      <c r="L188" s="78"/>
      <c r="M188" s="73"/>
      <c r="N188" s="73"/>
      <c r="O188" s="73"/>
      <c r="P188" s="73"/>
      <c r="Q188" s="73"/>
      <c r="R188" s="73"/>
      <c r="S188" s="73"/>
      <c r="T188" s="73"/>
      <c r="U188" s="73"/>
      <c r="V188" s="73"/>
    </row>
    <row r="189" spans="1:22" s="81" customFormat="1">
      <c r="A189" s="80" t="s">
        <v>473</v>
      </c>
      <c r="B189" s="80"/>
      <c r="C189" s="49" t="s">
        <v>435</v>
      </c>
      <c r="D189" s="92"/>
      <c r="E189" s="200"/>
      <c r="F189" s="200"/>
      <c r="G189" s="200"/>
      <c r="H189" s="200"/>
      <c r="I189" s="200"/>
      <c r="J189" s="82"/>
      <c r="K189" s="82"/>
      <c r="L189" s="78"/>
      <c r="M189" s="73"/>
      <c r="N189" s="73"/>
      <c r="O189" s="73"/>
      <c r="P189" s="73"/>
      <c r="Q189" s="73"/>
      <c r="R189" s="73"/>
      <c r="S189" s="73"/>
      <c r="T189" s="73"/>
      <c r="U189" s="73"/>
      <c r="V189" s="73"/>
    </row>
    <row r="190" spans="1:22" s="81" customFormat="1">
      <c r="A190" s="80" t="s">
        <v>563</v>
      </c>
      <c r="B190" s="80"/>
      <c r="C190" s="49" t="s">
        <v>551</v>
      </c>
      <c r="D190" s="92"/>
      <c r="E190" s="200"/>
      <c r="F190" s="200"/>
      <c r="G190" s="200"/>
      <c r="H190" s="200"/>
      <c r="I190" s="200"/>
      <c r="J190" s="82"/>
      <c r="K190" s="82"/>
      <c r="L190" s="78"/>
      <c r="M190" s="73"/>
      <c r="N190" s="73"/>
      <c r="O190" s="73"/>
      <c r="P190" s="73"/>
      <c r="Q190" s="73"/>
      <c r="R190" s="73"/>
      <c r="S190" s="73"/>
      <c r="T190" s="73"/>
      <c r="U190" s="73"/>
      <c r="V190" s="73"/>
    </row>
    <row r="191" spans="1:22" s="81" customFormat="1">
      <c r="A191" s="80" t="s">
        <v>564</v>
      </c>
      <c r="B191" s="80"/>
      <c r="C191" s="49" t="s">
        <v>552</v>
      </c>
      <c r="D191" s="92"/>
      <c r="E191" s="200"/>
      <c r="F191" s="200"/>
      <c r="G191" s="200"/>
      <c r="H191" s="200"/>
      <c r="I191" s="200"/>
      <c r="J191" s="82"/>
      <c r="K191" s="82"/>
      <c r="L191" s="78"/>
      <c r="M191" s="73"/>
      <c r="N191" s="73"/>
      <c r="O191" s="73"/>
      <c r="P191" s="73"/>
      <c r="Q191" s="73"/>
      <c r="R191" s="73"/>
      <c r="S191" s="73"/>
      <c r="T191" s="73"/>
      <c r="U191" s="73"/>
      <c r="V191" s="73"/>
    </row>
    <row r="192" spans="1:22" s="74" customFormat="1">
      <c r="A192" s="462" t="s">
        <v>117</v>
      </c>
      <c r="B192" s="463"/>
      <c r="C192" s="463"/>
      <c r="D192" s="463"/>
      <c r="E192" s="463"/>
      <c r="F192" s="463"/>
      <c r="G192" s="463"/>
      <c r="H192" s="463"/>
      <c r="I192" s="464"/>
      <c r="J192" s="285"/>
      <c r="K192" s="285"/>
      <c r="L192" s="79"/>
      <c r="M192" s="73"/>
      <c r="N192" s="73"/>
      <c r="O192" s="73"/>
      <c r="P192" s="73"/>
      <c r="Q192" s="73"/>
      <c r="R192" s="73"/>
      <c r="S192" s="73"/>
      <c r="T192" s="73"/>
      <c r="U192" s="73"/>
      <c r="V192" s="73"/>
    </row>
    <row r="193" spans="1:20">
      <c r="A193" s="60" t="s">
        <v>140</v>
      </c>
      <c r="B193" s="458" t="s">
        <v>118</v>
      </c>
      <c r="C193" s="459"/>
      <c r="D193" s="459"/>
      <c r="E193" s="459"/>
      <c r="F193" s="459"/>
      <c r="G193" s="459"/>
      <c r="H193" s="459"/>
      <c r="I193" s="459"/>
      <c r="J193" s="459"/>
      <c r="K193" s="473"/>
      <c r="L193" s="11"/>
      <c r="M193" s="11"/>
      <c r="N193" s="11"/>
      <c r="O193" s="11"/>
      <c r="P193" s="11"/>
      <c r="Q193" s="11"/>
      <c r="R193" s="11"/>
      <c r="S193" s="11"/>
      <c r="T193" s="11"/>
    </row>
    <row r="194" spans="1:20" s="53" customFormat="1">
      <c r="A194" s="96" t="s">
        <v>380</v>
      </c>
      <c r="B194" s="96"/>
      <c r="C194" s="49" t="s">
        <v>428</v>
      </c>
      <c r="D194" s="92"/>
      <c r="E194" s="95"/>
      <c r="F194" s="95"/>
      <c r="G194" s="95"/>
      <c r="H194" s="95"/>
      <c r="I194" s="95"/>
      <c r="J194" s="47"/>
      <c r="K194" s="47"/>
      <c r="L194" s="11"/>
      <c r="M194" s="11"/>
      <c r="N194" s="11"/>
      <c r="O194" s="11"/>
      <c r="P194" s="11"/>
      <c r="Q194" s="11"/>
      <c r="R194" s="11"/>
      <c r="S194" s="11"/>
      <c r="T194" s="11"/>
    </row>
    <row r="195" spans="1:20" s="53" customFormat="1">
      <c r="A195" s="96" t="s">
        <v>381</v>
      </c>
      <c r="B195" s="96"/>
      <c r="C195" s="49" t="s">
        <v>429</v>
      </c>
      <c r="D195" s="92"/>
      <c r="E195" s="95"/>
      <c r="F195" s="95"/>
      <c r="G195" s="95"/>
      <c r="H195" s="95"/>
      <c r="I195" s="95"/>
      <c r="J195" s="47"/>
      <c r="K195" s="47"/>
      <c r="L195" s="11"/>
      <c r="M195" s="11"/>
      <c r="N195" s="11"/>
      <c r="O195" s="11"/>
      <c r="P195" s="11"/>
      <c r="Q195" s="11"/>
      <c r="R195" s="11"/>
      <c r="S195" s="11"/>
      <c r="T195" s="11"/>
    </row>
    <row r="196" spans="1:20" s="53" customFormat="1">
      <c r="A196" s="96" t="s">
        <v>384</v>
      </c>
      <c r="B196" s="96"/>
      <c r="C196" s="49" t="s">
        <v>430</v>
      </c>
      <c r="D196" s="92"/>
      <c r="E196" s="95"/>
      <c r="F196" s="95"/>
      <c r="G196" s="95"/>
      <c r="H196" s="95"/>
      <c r="I196" s="95"/>
      <c r="J196" s="47"/>
      <c r="K196" s="47"/>
      <c r="L196" s="11"/>
      <c r="M196" s="11"/>
      <c r="N196" s="11"/>
      <c r="O196" s="11"/>
      <c r="P196" s="11"/>
      <c r="Q196" s="11"/>
      <c r="R196" s="11"/>
      <c r="S196" s="11"/>
      <c r="T196" s="11"/>
    </row>
    <row r="197" spans="1:20" s="53" customFormat="1">
      <c r="A197" s="96" t="s">
        <v>408</v>
      </c>
      <c r="B197" s="96"/>
      <c r="C197" s="49" t="s">
        <v>432</v>
      </c>
      <c r="D197" s="92"/>
      <c r="E197" s="95"/>
      <c r="F197" s="95"/>
      <c r="G197" s="95"/>
      <c r="H197" s="95"/>
      <c r="I197" s="95"/>
      <c r="J197" s="47"/>
      <c r="K197" s="47"/>
      <c r="L197" s="11"/>
      <c r="M197" s="11"/>
      <c r="N197" s="11"/>
      <c r="O197" s="11"/>
      <c r="P197" s="11"/>
      <c r="Q197" s="11"/>
      <c r="R197" s="11"/>
      <c r="S197" s="11"/>
      <c r="T197" s="11"/>
    </row>
    <row r="198" spans="1:20" s="53" customFormat="1">
      <c r="A198" s="96" t="s">
        <v>409</v>
      </c>
      <c r="B198" s="96"/>
      <c r="C198" s="49" t="s">
        <v>431</v>
      </c>
      <c r="D198" s="92"/>
      <c r="E198" s="95"/>
      <c r="F198" s="95"/>
      <c r="G198" s="95"/>
      <c r="H198" s="95"/>
      <c r="I198" s="95"/>
      <c r="J198" s="47"/>
      <c r="K198" s="47"/>
      <c r="L198" s="11"/>
      <c r="M198" s="11"/>
      <c r="N198" s="11"/>
      <c r="O198" s="11"/>
      <c r="P198" s="11"/>
      <c r="Q198" s="11"/>
      <c r="R198" s="11"/>
      <c r="S198" s="11"/>
      <c r="T198" s="11"/>
    </row>
    <row r="199" spans="1:20" s="53" customFormat="1">
      <c r="A199" s="96" t="s">
        <v>410</v>
      </c>
      <c r="B199" s="96"/>
      <c r="C199" s="49" t="s">
        <v>433</v>
      </c>
      <c r="D199" s="92"/>
      <c r="E199" s="95"/>
      <c r="F199" s="95"/>
      <c r="G199" s="95"/>
      <c r="H199" s="95"/>
      <c r="I199" s="95"/>
      <c r="J199" s="47"/>
      <c r="K199" s="47"/>
      <c r="L199" s="11"/>
      <c r="M199" s="11"/>
      <c r="N199" s="11"/>
      <c r="O199" s="11"/>
      <c r="P199" s="11"/>
      <c r="Q199" s="11"/>
      <c r="R199" s="11"/>
      <c r="S199" s="11"/>
      <c r="T199" s="11"/>
    </row>
    <row r="200" spans="1:20" s="53" customFormat="1">
      <c r="A200" s="96" t="s">
        <v>411</v>
      </c>
      <c r="B200" s="96"/>
      <c r="C200" s="229" t="s">
        <v>434</v>
      </c>
      <c r="D200" s="92"/>
      <c r="E200" s="95"/>
      <c r="F200" s="95"/>
      <c r="G200" s="95"/>
      <c r="H200" s="95"/>
      <c r="I200" s="95"/>
      <c r="J200" s="47"/>
      <c r="K200" s="47"/>
      <c r="L200" s="11"/>
      <c r="M200" s="11"/>
      <c r="N200" s="11"/>
      <c r="O200" s="11"/>
      <c r="P200" s="11"/>
      <c r="Q200" s="11"/>
      <c r="R200" s="11"/>
      <c r="S200" s="11"/>
      <c r="T200" s="11"/>
    </row>
    <row r="201" spans="1:20" s="53" customFormat="1">
      <c r="A201" s="96" t="s">
        <v>474</v>
      </c>
      <c r="B201" s="96"/>
      <c r="C201" s="49" t="s">
        <v>435</v>
      </c>
      <c r="D201" s="92"/>
      <c r="E201" s="95"/>
      <c r="F201" s="95"/>
      <c r="G201" s="95"/>
      <c r="H201" s="95"/>
      <c r="I201" s="95"/>
      <c r="J201" s="47"/>
      <c r="K201" s="47"/>
      <c r="L201" s="11"/>
      <c r="M201" s="11"/>
      <c r="N201" s="11"/>
      <c r="O201" s="11"/>
      <c r="P201" s="11"/>
      <c r="Q201" s="11"/>
      <c r="R201" s="11"/>
      <c r="S201" s="11"/>
      <c r="T201" s="11"/>
    </row>
    <row r="202" spans="1:20" s="53" customFormat="1">
      <c r="A202" s="96" t="s">
        <v>565</v>
      </c>
      <c r="B202" s="96"/>
      <c r="C202" s="49" t="s">
        <v>551</v>
      </c>
      <c r="D202" s="92"/>
      <c r="E202" s="95"/>
      <c r="F202" s="95"/>
      <c r="G202" s="95"/>
      <c r="H202" s="95"/>
      <c r="I202" s="95"/>
      <c r="J202" s="47"/>
      <c r="K202" s="47"/>
      <c r="L202" s="11"/>
      <c r="M202" s="11"/>
      <c r="N202" s="11"/>
      <c r="O202" s="11"/>
      <c r="P202" s="11"/>
      <c r="Q202" s="11"/>
      <c r="R202" s="11"/>
      <c r="S202" s="11"/>
      <c r="T202" s="11"/>
    </row>
    <row r="203" spans="1:20" s="53" customFormat="1">
      <c r="A203" s="96" t="s">
        <v>566</v>
      </c>
      <c r="B203" s="96"/>
      <c r="C203" s="49" t="s">
        <v>552</v>
      </c>
      <c r="D203" s="92"/>
      <c r="E203" s="95"/>
      <c r="F203" s="95"/>
      <c r="G203" s="95"/>
      <c r="H203" s="95"/>
      <c r="I203" s="95"/>
      <c r="J203" s="47"/>
      <c r="K203" s="47"/>
      <c r="L203" s="11"/>
      <c r="M203" s="11"/>
      <c r="N203" s="11"/>
      <c r="O203" s="11"/>
      <c r="P203" s="11"/>
      <c r="Q203" s="11"/>
      <c r="R203" s="11"/>
      <c r="S203" s="11"/>
      <c r="T203" s="11"/>
    </row>
    <row r="204" spans="1:20">
      <c r="A204" s="479" t="s">
        <v>141</v>
      </c>
      <c r="B204" s="480"/>
      <c r="C204" s="480"/>
      <c r="D204" s="480"/>
      <c r="E204" s="480"/>
      <c r="F204" s="480"/>
      <c r="G204" s="480"/>
      <c r="H204" s="480"/>
      <c r="I204" s="481"/>
      <c r="J204" s="285"/>
      <c r="K204" s="286"/>
    </row>
    <row r="205" spans="1:20">
      <c r="A205" s="60" t="s">
        <v>142</v>
      </c>
      <c r="B205" s="458" t="s">
        <v>7</v>
      </c>
      <c r="C205" s="459"/>
      <c r="D205" s="459"/>
      <c r="E205" s="459"/>
      <c r="F205" s="459"/>
      <c r="G205" s="459"/>
      <c r="H205" s="459"/>
      <c r="I205" s="459"/>
      <c r="J205" s="459"/>
      <c r="K205" s="473"/>
      <c r="L205" s="11"/>
      <c r="M205" s="11"/>
      <c r="N205" s="11"/>
      <c r="O205" s="11"/>
      <c r="P205" s="11"/>
      <c r="Q205" s="11"/>
      <c r="R205" s="11"/>
      <c r="S205" s="11"/>
      <c r="T205" s="11"/>
    </row>
    <row r="206" spans="1:20" s="53" customFormat="1">
      <c r="A206" s="48" t="s">
        <v>143</v>
      </c>
      <c r="B206" s="180">
        <v>72195</v>
      </c>
      <c r="C206" s="167" t="s">
        <v>695</v>
      </c>
      <c r="D206" s="165" t="s">
        <v>29</v>
      </c>
      <c r="E206" s="117">
        <f>E247</f>
        <v>1245.346</v>
      </c>
      <c r="F206" s="117"/>
      <c r="G206" s="117"/>
      <c r="H206" s="117"/>
      <c r="I206" s="117"/>
      <c r="J206" s="117"/>
      <c r="K206" s="117"/>
      <c r="L206" s="11"/>
      <c r="M206" s="11"/>
      <c r="N206" s="11"/>
      <c r="O206" s="11"/>
      <c r="P206" s="11"/>
      <c r="Q206" s="11"/>
      <c r="R206" s="11"/>
      <c r="S206" s="11"/>
      <c r="T206" s="11"/>
    </row>
    <row r="207" spans="1:20" s="53" customFormat="1">
      <c r="A207" s="48" t="s">
        <v>144</v>
      </c>
      <c r="B207" s="48"/>
      <c r="C207" s="49" t="s">
        <v>428</v>
      </c>
      <c r="D207" s="50"/>
      <c r="E207" s="47"/>
      <c r="F207" s="47"/>
      <c r="G207" s="47"/>
      <c r="H207" s="47"/>
      <c r="I207" s="47"/>
      <c r="J207" s="47"/>
      <c r="K207" s="47"/>
      <c r="L207" s="11"/>
      <c r="M207" s="11"/>
      <c r="N207" s="11"/>
      <c r="O207" s="11"/>
      <c r="P207" s="11"/>
      <c r="Q207" s="11"/>
      <c r="R207" s="11"/>
      <c r="S207" s="11"/>
      <c r="T207" s="11"/>
    </row>
    <row r="208" spans="1:20" s="53" customFormat="1">
      <c r="A208" s="48" t="s">
        <v>145</v>
      </c>
      <c r="B208" s="48"/>
      <c r="C208" s="49" t="s">
        <v>429</v>
      </c>
      <c r="D208" s="50"/>
      <c r="E208" s="47"/>
      <c r="F208" s="47"/>
      <c r="G208" s="47"/>
      <c r="H208" s="47"/>
      <c r="I208" s="47"/>
      <c r="J208" s="47"/>
      <c r="K208" s="47"/>
      <c r="L208" s="11"/>
      <c r="M208" s="11"/>
      <c r="N208" s="11"/>
      <c r="O208" s="11"/>
      <c r="P208" s="11"/>
      <c r="Q208" s="11"/>
      <c r="R208" s="11"/>
      <c r="S208" s="11"/>
      <c r="T208" s="11"/>
    </row>
    <row r="209" spans="1:21" s="53" customFormat="1">
      <c r="A209" s="48" t="s">
        <v>146</v>
      </c>
      <c r="B209" s="48"/>
      <c r="C209" s="49" t="s">
        <v>430</v>
      </c>
      <c r="D209" s="50"/>
      <c r="E209" s="47"/>
      <c r="F209" s="47"/>
      <c r="G209" s="47"/>
      <c r="H209" s="47"/>
      <c r="I209" s="47"/>
      <c r="J209" s="47"/>
      <c r="K209" s="47"/>
      <c r="L209" s="11"/>
      <c r="M209" s="11"/>
      <c r="N209" s="11"/>
      <c r="O209" s="11"/>
      <c r="P209" s="11"/>
      <c r="Q209" s="11"/>
      <c r="R209" s="11"/>
      <c r="S209" s="11"/>
      <c r="T209" s="11"/>
    </row>
    <row r="210" spans="1:21" s="53" customFormat="1">
      <c r="A210" s="48" t="s">
        <v>147</v>
      </c>
      <c r="B210" s="48"/>
      <c r="C210" s="49" t="s">
        <v>432</v>
      </c>
      <c r="D210" s="50"/>
      <c r="E210" s="47"/>
      <c r="F210" s="47"/>
      <c r="G210" s="47"/>
      <c r="H210" s="47"/>
      <c r="I210" s="47"/>
      <c r="J210" s="47"/>
      <c r="K210" s="47"/>
      <c r="L210" s="11"/>
      <c r="M210" s="11"/>
      <c r="N210" s="11"/>
      <c r="O210" s="11"/>
      <c r="P210" s="11"/>
      <c r="Q210" s="11"/>
      <c r="R210" s="11"/>
      <c r="S210" s="11"/>
      <c r="T210" s="11"/>
    </row>
    <row r="211" spans="1:21" s="53" customFormat="1">
      <c r="A211" s="48" t="s">
        <v>148</v>
      </c>
      <c r="B211" s="48"/>
      <c r="C211" s="49" t="s">
        <v>431</v>
      </c>
      <c r="D211" s="50"/>
      <c r="E211" s="47"/>
      <c r="F211" s="47"/>
      <c r="G211" s="47"/>
      <c r="H211" s="47"/>
      <c r="I211" s="47"/>
      <c r="J211" s="47"/>
      <c r="K211" s="47"/>
      <c r="L211" s="11"/>
      <c r="M211" s="11"/>
      <c r="N211" s="11"/>
      <c r="O211" s="11"/>
      <c r="P211" s="11"/>
      <c r="Q211" s="11"/>
      <c r="R211" s="11"/>
      <c r="S211" s="11"/>
      <c r="T211" s="11"/>
    </row>
    <row r="212" spans="1:21" s="53" customFormat="1">
      <c r="A212" s="48" t="s">
        <v>149</v>
      </c>
      <c r="B212" s="48"/>
      <c r="C212" s="49" t="s">
        <v>433</v>
      </c>
      <c r="D212" s="50"/>
      <c r="E212" s="47"/>
      <c r="F212" s="47"/>
      <c r="G212" s="47"/>
      <c r="H212" s="47"/>
      <c r="I212" s="47"/>
      <c r="J212" s="47"/>
      <c r="K212" s="47"/>
      <c r="L212" s="11"/>
      <c r="M212" s="11"/>
      <c r="N212" s="11"/>
      <c r="O212" s="11"/>
      <c r="P212" s="11"/>
      <c r="Q212" s="11"/>
      <c r="R212" s="11"/>
      <c r="S212" s="11"/>
      <c r="T212" s="11"/>
    </row>
    <row r="213" spans="1:21" s="53" customFormat="1">
      <c r="A213" s="48" t="s">
        <v>150</v>
      </c>
      <c r="B213" s="48"/>
      <c r="C213" s="229" t="s">
        <v>434</v>
      </c>
      <c r="D213" s="50"/>
      <c r="E213" s="47"/>
      <c r="F213" s="47"/>
      <c r="G213" s="47"/>
      <c r="H213" s="47"/>
      <c r="I213" s="47"/>
      <c r="J213" s="47"/>
      <c r="K213" s="47"/>
      <c r="L213" s="11"/>
      <c r="M213" s="11"/>
      <c r="N213" s="11"/>
      <c r="O213" s="11"/>
      <c r="P213" s="11"/>
      <c r="Q213" s="11"/>
      <c r="R213" s="11"/>
      <c r="S213" s="11"/>
      <c r="T213" s="11"/>
    </row>
    <row r="214" spans="1:21" s="53" customFormat="1">
      <c r="A214" s="48" t="s">
        <v>382</v>
      </c>
      <c r="B214" s="48"/>
      <c r="C214" s="49" t="s">
        <v>435</v>
      </c>
      <c r="D214" s="50"/>
      <c r="E214" s="47"/>
      <c r="F214" s="47"/>
      <c r="G214" s="47"/>
      <c r="H214" s="47"/>
      <c r="I214" s="47"/>
      <c r="J214" s="47"/>
      <c r="K214" s="47"/>
      <c r="L214" s="11"/>
      <c r="M214" s="11"/>
      <c r="N214" s="11"/>
      <c r="O214" s="11"/>
      <c r="P214" s="11"/>
      <c r="Q214" s="11"/>
      <c r="R214" s="11"/>
      <c r="S214" s="11"/>
      <c r="T214" s="11"/>
    </row>
    <row r="215" spans="1:21" s="53" customFormat="1">
      <c r="A215" s="48" t="s">
        <v>383</v>
      </c>
      <c r="B215" s="48"/>
      <c r="C215" s="49" t="s">
        <v>551</v>
      </c>
      <c r="D215" s="50"/>
      <c r="E215" s="47"/>
      <c r="F215" s="47"/>
      <c r="G215" s="47"/>
      <c r="H215" s="47"/>
      <c r="I215" s="47"/>
      <c r="J215" s="47"/>
      <c r="K215" s="47"/>
      <c r="L215" s="11"/>
      <c r="M215" s="11"/>
      <c r="N215" s="11"/>
      <c r="O215" s="11"/>
      <c r="P215" s="11"/>
      <c r="Q215" s="11"/>
      <c r="R215" s="11"/>
      <c r="S215" s="11"/>
      <c r="T215" s="11"/>
    </row>
    <row r="216" spans="1:21" s="53" customFormat="1">
      <c r="A216" s="48" t="s">
        <v>388</v>
      </c>
      <c r="B216" s="48"/>
      <c r="C216" s="49" t="s">
        <v>552</v>
      </c>
      <c r="D216" s="50"/>
      <c r="E216" s="47"/>
      <c r="F216" s="47"/>
      <c r="G216" s="47"/>
      <c r="H216" s="47"/>
      <c r="I216" s="47"/>
      <c r="J216" s="47"/>
      <c r="K216" s="47"/>
      <c r="L216" s="11"/>
      <c r="M216" s="11"/>
      <c r="N216" s="11"/>
      <c r="O216" s="11"/>
      <c r="P216" s="11"/>
      <c r="Q216" s="11"/>
      <c r="R216" s="11"/>
      <c r="S216" s="11"/>
      <c r="T216" s="11"/>
    </row>
    <row r="217" spans="1:21">
      <c r="A217" s="479" t="s">
        <v>151</v>
      </c>
      <c r="B217" s="480"/>
      <c r="C217" s="480"/>
      <c r="D217" s="480"/>
      <c r="E217" s="480"/>
      <c r="F217" s="480"/>
      <c r="G217" s="480"/>
      <c r="H217" s="480"/>
      <c r="I217" s="481"/>
      <c r="J217" s="22"/>
      <c r="K217" s="22"/>
      <c r="L217" s="77"/>
      <c r="M217" s="11"/>
      <c r="N217" s="11"/>
      <c r="O217" s="11"/>
      <c r="P217" s="11"/>
      <c r="Q217" s="11"/>
      <c r="R217" s="11"/>
      <c r="S217" s="11"/>
      <c r="T217" s="11"/>
    </row>
    <row r="218" spans="1:21" s="74" customFormat="1">
      <c r="A218" s="70" t="s">
        <v>132</v>
      </c>
      <c r="B218" s="448" t="s">
        <v>133</v>
      </c>
      <c r="C218" s="449"/>
      <c r="D218" s="449"/>
      <c r="E218" s="449"/>
      <c r="F218" s="449"/>
      <c r="G218" s="449"/>
      <c r="H218" s="449"/>
      <c r="I218" s="449"/>
      <c r="J218" s="449"/>
      <c r="K218" s="449"/>
      <c r="L218" s="78"/>
      <c r="M218" s="73"/>
      <c r="N218" s="73"/>
      <c r="O218" s="73"/>
      <c r="P218" s="73"/>
      <c r="Q218" s="73"/>
      <c r="R218" s="73"/>
      <c r="S218" s="73"/>
      <c r="T218" s="73"/>
      <c r="U218" s="73"/>
    </row>
    <row r="219" spans="1:21" s="81" customFormat="1">
      <c r="A219" s="80" t="s">
        <v>134</v>
      </c>
      <c r="B219" s="231"/>
      <c r="C219" s="49" t="s">
        <v>428</v>
      </c>
      <c r="D219" s="92"/>
      <c r="E219" s="200"/>
      <c r="F219" s="200"/>
      <c r="G219" s="200"/>
      <c r="H219" s="200"/>
      <c r="I219" s="200"/>
      <c r="J219" s="82"/>
      <c r="K219" s="82"/>
      <c r="L219" s="78"/>
      <c r="M219" s="73"/>
      <c r="N219" s="73"/>
      <c r="O219" s="73"/>
      <c r="P219" s="73"/>
      <c r="Q219" s="73"/>
      <c r="R219" s="73"/>
      <c r="S219" s="73"/>
      <c r="T219" s="73"/>
      <c r="U219" s="73"/>
    </row>
    <row r="220" spans="1:21" s="81" customFormat="1">
      <c r="A220" s="80" t="s">
        <v>135</v>
      </c>
      <c r="B220" s="231"/>
      <c r="C220" s="49" t="s">
        <v>429</v>
      </c>
      <c r="D220" s="92"/>
      <c r="E220" s="200"/>
      <c r="F220" s="200"/>
      <c r="G220" s="200"/>
      <c r="H220" s="200"/>
      <c r="I220" s="200"/>
      <c r="J220" s="82"/>
      <c r="K220" s="82"/>
      <c r="L220" s="78"/>
      <c r="M220" s="73"/>
      <c r="N220" s="73"/>
      <c r="O220" s="73"/>
      <c r="P220" s="73"/>
      <c r="Q220" s="73"/>
      <c r="R220" s="73"/>
      <c r="S220" s="73"/>
      <c r="T220" s="73"/>
      <c r="U220" s="73"/>
    </row>
    <row r="221" spans="1:21" s="81" customFormat="1">
      <c r="A221" s="80" t="s">
        <v>136</v>
      </c>
      <c r="B221" s="231"/>
      <c r="C221" s="49" t="s">
        <v>430</v>
      </c>
      <c r="D221" s="92"/>
      <c r="E221" s="200"/>
      <c r="F221" s="200"/>
      <c r="G221" s="200"/>
      <c r="H221" s="200"/>
      <c r="I221" s="200"/>
      <c r="J221" s="82"/>
      <c r="K221" s="82"/>
      <c r="L221" s="78"/>
      <c r="M221" s="73"/>
      <c r="N221" s="73"/>
      <c r="O221" s="73"/>
      <c r="P221" s="73"/>
      <c r="Q221" s="73"/>
      <c r="R221" s="73"/>
      <c r="S221" s="73"/>
      <c r="T221" s="73"/>
      <c r="U221" s="73"/>
    </row>
    <row r="222" spans="1:21" s="81" customFormat="1">
      <c r="A222" s="80" t="s">
        <v>226</v>
      </c>
      <c r="B222" s="231"/>
      <c r="C222" s="49" t="s">
        <v>432</v>
      </c>
      <c r="D222" s="92"/>
      <c r="E222" s="200"/>
      <c r="F222" s="200"/>
      <c r="G222" s="200"/>
      <c r="H222" s="200"/>
      <c r="I222" s="200"/>
      <c r="J222" s="82"/>
      <c r="K222" s="82"/>
      <c r="L222" s="78"/>
      <c r="M222" s="73"/>
      <c r="N222" s="73"/>
      <c r="O222" s="73"/>
      <c r="P222" s="73"/>
      <c r="Q222" s="73"/>
      <c r="R222" s="73"/>
      <c r="S222" s="73"/>
      <c r="T222" s="73"/>
      <c r="U222" s="73"/>
    </row>
    <row r="223" spans="1:21" s="81" customFormat="1">
      <c r="A223" s="80" t="s">
        <v>228</v>
      </c>
      <c r="B223" s="231"/>
      <c r="C223" s="49" t="s">
        <v>431</v>
      </c>
      <c r="D223" s="92"/>
      <c r="E223" s="200"/>
      <c r="F223" s="200"/>
      <c r="G223" s="200"/>
      <c r="H223" s="200"/>
      <c r="I223" s="200"/>
      <c r="J223" s="82"/>
      <c r="K223" s="82"/>
      <c r="L223" s="78"/>
      <c r="M223" s="73"/>
      <c r="N223" s="73"/>
      <c r="O223" s="73"/>
      <c r="P223" s="73"/>
      <c r="Q223" s="73"/>
      <c r="R223" s="73"/>
      <c r="S223" s="73"/>
      <c r="T223" s="73"/>
      <c r="U223" s="73"/>
    </row>
    <row r="224" spans="1:21" s="81" customFormat="1">
      <c r="A224" s="80" t="s">
        <v>230</v>
      </c>
      <c r="B224" s="231"/>
      <c r="C224" s="49" t="s">
        <v>433</v>
      </c>
      <c r="D224" s="92"/>
      <c r="E224" s="200"/>
      <c r="F224" s="200"/>
      <c r="G224" s="200"/>
      <c r="H224" s="200"/>
      <c r="I224" s="200"/>
      <c r="J224" s="82"/>
      <c r="K224" s="82"/>
      <c r="L224" s="78"/>
      <c r="M224" s="73"/>
      <c r="N224" s="73"/>
      <c r="O224" s="73"/>
      <c r="P224" s="73"/>
      <c r="Q224" s="73"/>
      <c r="R224" s="73"/>
      <c r="S224" s="73"/>
      <c r="T224" s="73"/>
      <c r="U224" s="73"/>
    </row>
    <row r="225" spans="1:21" s="81" customFormat="1">
      <c r="A225" s="80" t="s">
        <v>232</v>
      </c>
      <c r="B225" s="231"/>
      <c r="C225" s="229" t="s">
        <v>434</v>
      </c>
      <c r="D225" s="92"/>
      <c r="E225" s="200"/>
      <c r="F225" s="200"/>
      <c r="G225" s="200"/>
      <c r="H225" s="200"/>
      <c r="I225" s="200"/>
      <c r="J225" s="82"/>
      <c r="K225" s="82"/>
      <c r="L225" s="78"/>
      <c r="M225" s="73"/>
      <c r="N225" s="73"/>
      <c r="O225" s="73"/>
      <c r="P225" s="73"/>
      <c r="Q225" s="73"/>
      <c r="R225" s="73"/>
      <c r="S225" s="73"/>
      <c r="T225" s="73"/>
      <c r="U225" s="73"/>
    </row>
    <row r="226" spans="1:21" s="81" customFormat="1">
      <c r="A226" s="80" t="s">
        <v>258</v>
      </c>
      <c r="B226" s="231"/>
      <c r="C226" s="49" t="s">
        <v>435</v>
      </c>
      <c r="D226" s="92"/>
      <c r="E226" s="200"/>
      <c r="F226" s="200"/>
      <c r="G226" s="200"/>
      <c r="H226" s="200"/>
      <c r="I226" s="200"/>
      <c r="J226" s="82"/>
      <c r="K226" s="82"/>
      <c r="L226" s="78"/>
      <c r="M226" s="73"/>
      <c r="N226" s="73"/>
      <c r="O226" s="73"/>
      <c r="P226" s="73"/>
      <c r="Q226" s="73"/>
      <c r="R226" s="73"/>
      <c r="S226" s="73"/>
      <c r="T226" s="73"/>
      <c r="U226" s="73"/>
    </row>
    <row r="227" spans="1:21" s="81" customFormat="1">
      <c r="A227" s="80" t="s">
        <v>260</v>
      </c>
      <c r="B227" s="231"/>
      <c r="C227" s="49" t="s">
        <v>551</v>
      </c>
      <c r="D227" s="92"/>
      <c r="E227" s="200"/>
      <c r="F227" s="200"/>
      <c r="G227" s="200"/>
      <c r="H227" s="200"/>
      <c r="I227" s="200"/>
      <c r="J227" s="82"/>
      <c r="K227" s="82"/>
      <c r="L227" s="78"/>
      <c r="M227" s="73"/>
      <c r="N227" s="73"/>
      <c r="O227" s="73"/>
      <c r="P227" s="73"/>
      <c r="Q227" s="73"/>
      <c r="R227" s="73"/>
      <c r="S227" s="73"/>
      <c r="T227" s="73"/>
      <c r="U227" s="73"/>
    </row>
    <row r="228" spans="1:21" s="81" customFormat="1">
      <c r="A228" s="80" t="s">
        <v>567</v>
      </c>
      <c r="B228" s="231"/>
      <c r="C228" s="49" t="s">
        <v>552</v>
      </c>
      <c r="D228" s="92"/>
      <c r="E228" s="200"/>
      <c r="F228" s="200"/>
      <c r="G228" s="200"/>
      <c r="H228" s="200"/>
      <c r="I228" s="200"/>
      <c r="J228" s="82"/>
      <c r="K228" s="82"/>
      <c r="L228" s="78"/>
      <c r="M228" s="73"/>
      <c r="N228" s="73"/>
      <c r="O228" s="73"/>
      <c r="P228" s="73"/>
      <c r="Q228" s="73"/>
      <c r="R228" s="73"/>
      <c r="S228" s="73"/>
      <c r="T228" s="73"/>
      <c r="U228" s="73"/>
    </row>
    <row r="229" spans="1:21" s="74" customFormat="1">
      <c r="A229" s="450" t="s">
        <v>137</v>
      </c>
      <c r="B229" s="451"/>
      <c r="C229" s="451"/>
      <c r="D229" s="451"/>
      <c r="E229" s="451"/>
      <c r="F229" s="451"/>
      <c r="G229" s="451"/>
      <c r="H229" s="451"/>
      <c r="I229" s="452"/>
      <c r="J229" s="22"/>
      <c r="K229" s="22"/>
      <c r="L229" s="79"/>
      <c r="M229" s="73"/>
      <c r="N229" s="73"/>
      <c r="O229" s="73"/>
      <c r="P229" s="73"/>
      <c r="Q229" s="73"/>
      <c r="R229" s="73"/>
      <c r="S229" s="73"/>
      <c r="T229" s="73"/>
      <c r="U229" s="73"/>
    </row>
    <row r="230" spans="1:21" s="53" customFormat="1">
      <c r="A230" s="60" t="s">
        <v>152</v>
      </c>
      <c r="B230" s="453" t="s">
        <v>67</v>
      </c>
      <c r="C230" s="454"/>
      <c r="D230" s="454"/>
      <c r="E230" s="454"/>
      <c r="F230" s="454"/>
      <c r="G230" s="454"/>
      <c r="H230" s="454"/>
      <c r="I230" s="454"/>
      <c r="J230" s="454"/>
      <c r="K230" s="455"/>
      <c r="L230" s="77"/>
      <c r="M230" s="11"/>
      <c r="N230" s="11"/>
      <c r="O230" s="11"/>
      <c r="P230" s="11"/>
      <c r="Q230" s="11"/>
      <c r="R230" s="11"/>
      <c r="S230" s="11"/>
      <c r="T230" s="11"/>
    </row>
    <row r="231" spans="1:21" s="53" customFormat="1">
      <c r="A231" s="60" t="s">
        <v>153</v>
      </c>
      <c r="B231" s="48"/>
      <c r="C231" s="49" t="s">
        <v>428</v>
      </c>
      <c r="D231" s="50"/>
      <c r="E231" s="47"/>
      <c r="F231" s="47"/>
      <c r="G231" s="47"/>
      <c r="H231" s="47"/>
      <c r="I231" s="47"/>
      <c r="J231" s="47"/>
      <c r="K231" s="47"/>
      <c r="L231" s="11"/>
      <c r="M231" s="11"/>
      <c r="N231" s="11"/>
      <c r="O231" s="11"/>
      <c r="P231" s="11"/>
      <c r="Q231" s="11"/>
      <c r="R231" s="11"/>
      <c r="S231" s="11"/>
      <c r="T231" s="11"/>
    </row>
    <row r="232" spans="1:21" s="53" customFormat="1">
      <c r="A232" s="60" t="s">
        <v>154</v>
      </c>
      <c r="B232" s="48"/>
      <c r="C232" s="49" t="s">
        <v>429</v>
      </c>
      <c r="D232" s="50"/>
      <c r="E232" s="47"/>
      <c r="F232" s="47"/>
      <c r="G232" s="47"/>
      <c r="H232" s="47"/>
      <c r="I232" s="47"/>
      <c r="J232" s="47"/>
      <c r="K232" s="47"/>
      <c r="L232" s="11"/>
      <c r="M232" s="11"/>
      <c r="N232" s="11"/>
      <c r="O232" s="11"/>
      <c r="P232" s="11"/>
      <c r="Q232" s="11"/>
      <c r="R232" s="11"/>
      <c r="S232" s="11"/>
      <c r="T232" s="11"/>
    </row>
    <row r="233" spans="1:21" s="53" customFormat="1">
      <c r="A233" s="60" t="s">
        <v>155</v>
      </c>
      <c r="B233" s="48"/>
      <c r="C233" s="49" t="s">
        <v>430</v>
      </c>
      <c r="D233" s="50"/>
      <c r="E233" s="47"/>
      <c r="F233" s="47"/>
      <c r="G233" s="47"/>
      <c r="H233" s="47"/>
      <c r="I233" s="47"/>
      <c r="J233" s="47"/>
      <c r="K233" s="47"/>
      <c r="L233" s="11"/>
      <c r="M233" s="11"/>
      <c r="N233" s="11"/>
      <c r="O233" s="11"/>
      <c r="P233" s="11"/>
      <c r="Q233" s="11"/>
      <c r="R233" s="11"/>
      <c r="S233" s="11"/>
      <c r="T233" s="11"/>
    </row>
    <row r="234" spans="1:21" s="53" customFormat="1">
      <c r="A234" s="60" t="s">
        <v>476</v>
      </c>
      <c r="B234" s="48"/>
      <c r="C234" s="49" t="s">
        <v>432</v>
      </c>
      <c r="D234" s="50"/>
      <c r="E234" s="47"/>
      <c r="F234" s="47"/>
      <c r="G234" s="47"/>
      <c r="H234" s="47"/>
      <c r="I234" s="47"/>
      <c r="J234" s="47"/>
      <c r="K234" s="47"/>
      <c r="L234" s="11"/>
      <c r="M234" s="11"/>
      <c r="N234" s="11"/>
      <c r="O234" s="11"/>
      <c r="P234" s="11"/>
      <c r="Q234" s="11"/>
      <c r="R234" s="11"/>
      <c r="S234" s="11"/>
      <c r="T234" s="11"/>
    </row>
    <row r="235" spans="1:21" s="53" customFormat="1">
      <c r="A235" s="60" t="s">
        <v>477</v>
      </c>
      <c r="B235" s="48"/>
      <c r="C235" s="49" t="s">
        <v>431</v>
      </c>
      <c r="D235" s="50"/>
      <c r="E235" s="47"/>
      <c r="F235" s="47"/>
      <c r="G235" s="47"/>
      <c r="H235" s="47"/>
      <c r="I235" s="47"/>
      <c r="J235" s="47"/>
      <c r="K235" s="47"/>
      <c r="L235" s="11"/>
      <c r="M235" s="11"/>
      <c r="N235" s="11"/>
      <c r="O235" s="11"/>
      <c r="P235" s="11"/>
      <c r="Q235" s="11"/>
      <c r="R235" s="11"/>
      <c r="S235" s="11"/>
      <c r="T235" s="11"/>
    </row>
    <row r="236" spans="1:21" s="53" customFormat="1">
      <c r="A236" s="60" t="s">
        <v>478</v>
      </c>
      <c r="B236" s="48"/>
      <c r="C236" s="49" t="s">
        <v>433</v>
      </c>
      <c r="D236" s="50"/>
      <c r="E236" s="47"/>
      <c r="F236" s="47"/>
      <c r="G236" s="47"/>
      <c r="H236" s="47"/>
      <c r="I236" s="47"/>
      <c r="J236" s="47"/>
      <c r="K236" s="47"/>
      <c r="L236" s="11"/>
      <c r="M236" s="11"/>
      <c r="N236" s="11"/>
      <c r="O236" s="11"/>
      <c r="P236" s="11"/>
      <c r="Q236" s="11"/>
      <c r="R236" s="11"/>
      <c r="S236" s="11"/>
      <c r="T236" s="11"/>
    </row>
    <row r="237" spans="1:21" s="53" customFormat="1">
      <c r="A237" s="60" t="s">
        <v>479</v>
      </c>
      <c r="B237" s="48"/>
      <c r="C237" s="229" t="s">
        <v>434</v>
      </c>
      <c r="D237" s="50"/>
      <c r="E237" s="47"/>
      <c r="F237" s="47"/>
      <c r="G237" s="47"/>
      <c r="H237" s="47"/>
      <c r="I237" s="47"/>
      <c r="J237" s="47"/>
      <c r="K237" s="47"/>
      <c r="L237" s="11"/>
      <c r="M237" s="11"/>
      <c r="N237" s="11"/>
      <c r="O237" s="11"/>
      <c r="P237" s="11"/>
      <c r="Q237" s="11"/>
      <c r="R237" s="11"/>
      <c r="S237" s="11"/>
      <c r="T237" s="11"/>
    </row>
    <row r="238" spans="1:21" s="53" customFormat="1">
      <c r="A238" s="60" t="s">
        <v>480</v>
      </c>
      <c r="B238" s="48"/>
      <c r="C238" s="49" t="s">
        <v>435</v>
      </c>
      <c r="D238" s="50"/>
      <c r="E238" s="47"/>
      <c r="F238" s="47"/>
      <c r="G238" s="47"/>
      <c r="H238" s="47"/>
      <c r="I238" s="47"/>
      <c r="J238" s="47"/>
      <c r="K238" s="47"/>
      <c r="L238" s="11"/>
      <c r="M238" s="11"/>
      <c r="N238" s="11"/>
      <c r="O238" s="11"/>
      <c r="P238" s="11"/>
      <c r="Q238" s="11"/>
      <c r="R238" s="11"/>
      <c r="S238" s="11"/>
      <c r="T238" s="11"/>
    </row>
    <row r="239" spans="1:21" s="53" customFormat="1">
      <c r="A239" s="60" t="s">
        <v>481</v>
      </c>
      <c r="B239" s="48"/>
      <c r="C239" s="49" t="s">
        <v>551</v>
      </c>
      <c r="D239" s="50"/>
      <c r="E239" s="47"/>
      <c r="F239" s="47"/>
      <c r="G239" s="47"/>
      <c r="H239" s="47"/>
      <c r="I239" s="47"/>
      <c r="J239" s="47"/>
      <c r="K239" s="47"/>
      <c r="L239" s="11"/>
      <c r="M239" s="11"/>
      <c r="N239" s="11"/>
      <c r="O239" s="11"/>
      <c r="P239" s="11"/>
      <c r="Q239" s="11"/>
      <c r="R239" s="11"/>
      <c r="S239" s="11"/>
      <c r="T239" s="11"/>
    </row>
    <row r="240" spans="1:21" s="53" customFormat="1">
      <c r="A240" s="60" t="s">
        <v>482</v>
      </c>
      <c r="B240" s="48"/>
      <c r="C240" s="49" t="s">
        <v>552</v>
      </c>
      <c r="D240" s="50"/>
      <c r="E240" s="47"/>
      <c r="F240" s="47"/>
      <c r="G240" s="47"/>
      <c r="H240" s="47"/>
      <c r="I240" s="47"/>
      <c r="J240" s="47"/>
      <c r="K240" s="47"/>
      <c r="L240" s="11"/>
      <c r="M240" s="11"/>
      <c r="N240" s="11"/>
      <c r="O240" s="11"/>
      <c r="P240" s="11"/>
      <c r="Q240" s="11"/>
      <c r="R240" s="11"/>
      <c r="S240" s="11"/>
      <c r="T240" s="11"/>
    </row>
    <row r="241" spans="1:22" s="53" customFormat="1">
      <c r="A241" s="479" t="s">
        <v>156</v>
      </c>
      <c r="B241" s="480"/>
      <c r="C241" s="480"/>
      <c r="D241" s="480"/>
      <c r="E241" s="480"/>
      <c r="F241" s="480"/>
      <c r="G241" s="480"/>
      <c r="H241" s="480"/>
      <c r="I241" s="481"/>
      <c r="J241" s="285"/>
      <c r="K241" s="285"/>
      <c r="L241" s="77"/>
      <c r="M241" s="11"/>
      <c r="N241" s="11"/>
      <c r="O241" s="11"/>
      <c r="P241" s="11"/>
      <c r="Q241" s="11"/>
      <c r="R241" s="11"/>
      <c r="S241" s="11"/>
      <c r="T241" s="11"/>
    </row>
    <row r="242" spans="1:22" s="74" customFormat="1">
      <c r="A242" s="70" t="s">
        <v>158</v>
      </c>
      <c r="B242" s="456" t="s">
        <v>120</v>
      </c>
      <c r="C242" s="457"/>
      <c r="D242" s="457"/>
      <c r="E242" s="457"/>
      <c r="F242" s="457"/>
      <c r="G242" s="457"/>
      <c r="H242" s="457"/>
      <c r="I242" s="457"/>
      <c r="J242" s="457"/>
      <c r="K242" s="457"/>
      <c r="L242" s="78"/>
      <c r="M242" s="73"/>
      <c r="N242" s="73"/>
      <c r="O242" s="73"/>
      <c r="P242" s="73"/>
      <c r="Q242" s="73"/>
      <c r="R242" s="73"/>
      <c r="S242" s="73"/>
      <c r="T242" s="73"/>
      <c r="U242" s="73"/>
      <c r="V242" s="73"/>
    </row>
    <row r="243" spans="1:22" s="74" customFormat="1">
      <c r="A243" s="70" t="s">
        <v>157</v>
      </c>
      <c r="B243" s="80"/>
      <c r="C243" s="200" t="s">
        <v>437</v>
      </c>
      <c r="D243" s="92" t="s">
        <v>29</v>
      </c>
      <c r="E243" s="47">
        <f>E245+E247</f>
        <v>3024.1859999999997</v>
      </c>
      <c r="F243" s="254"/>
      <c r="G243" s="47"/>
      <c r="H243" s="254"/>
      <c r="I243" s="47"/>
      <c r="J243" s="47"/>
      <c r="K243" s="47"/>
      <c r="L243" s="78"/>
      <c r="M243" s="73"/>
      <c r="N243" s="73"/>
      <c r="O243" s="73"/>
      <c r="P243" s="73"/>
      <c r="Q243" s="73"/>
      <c r="R243" s="73"/>
      <c r="S243" s="73"/>
      <c r="T243" s="73"/>
      <c r="U243" s="73"/>
      <c r="V243" s="73"/>
    </row>
    <row r="244" spans="1:22" s="74" customFormat="1" ht="24.75">
      <c r="A244" s="70" t="s">
        <v>159</v>
      </c>
      <c r="B244" s="197">
        <v>73615</v>
      </c>
      <c r="C244" s="428" t="s">
        <v>438</v>
      </c>
      <c r="D244" s="92" t="s">
        <v>47</v>
      </c>
      <c r="E244" s="47">
        <f>E245*0.08</f>
        <v>142.30719999999999</v>
      </c>
      <c r="F244" s="254"/>
      <c r="G244" s="47"/>
      <c r="H244" s="254"/>
      <c r="I244" s="47"/>
      <c r="J244" s="47"/>
      <c r="K244" s="47"/>
      <c r="L244" s="78"/>
      <c r="M244" s="73"/>
      <c r="N244" s="73"/>
      <c r="O244" s="73"/>
      <c r="P244" s="73"/>
      <c r="Q244" s="73"/>
      <c r="R244" s="73"/>
      <c r="S244" s="73"/>
      <c r="T244" s="73"/>
      <c r="U244" s="73"/>
      <c r="V244" s="73"/>
    </row>
    <row r="245" spans="1:22" s="74" customFormat="1" ht="36.75">
      <c r="A245" s="70" t="s">
        <v>160</v>
      </c>
      <c r="B245" s="197" t="s">
        <v>588</v>
      </c>
      <c r="C245" s="428" t="s">
        <v>439</v>
      </c>
      <c r="D245" s="92" t="s">
        <v>29</v>
      </c>
      <c r="E245" s="47">
        <f>761.01+(72.61*3)+(200*4)</f>
        <v>1778.84</v>
      </c>
      <c r="F245" s="222"/>
      <c r="G245" s="47"/>
      <c r="H245" s="223"/>
      <c r="I245" s="47"/>
      <c r="J245" s="47"/>
      <c r="K245" s="47"/>
      <c r="L245" s="78"/>
      <c r="M245" s="73"/>
      <c r="N245" s="73"/>
      <c r="O245" s="73"/>
      <c r="P245" s="73"/>
      <c r="Q245" s="73"/>
      <c r="R245" s="73"/>
      <c r="S245" s="73"/>
      <c r="T245" s="73"/>
      <c r="U245" s="73"/>
      <c r="V245" s="73"/>
    </row>
    <row r="246" spans="1:22" s="74" customFormat="1">
      <c r="A246" s="70" t="s">
        <v>483</v>
      </c>
      <c r="B246" s="197" t="s">
        <v>582</v>
      </c>
      <c r="C246" s="428" t="s">
        <v>583</v>
      </c>
      <c r="D246" s="92" t="s">
        <v>28</v>
      </c>
      <c r="E246" s="47">
        <f>(72.61*2)+(200*2)</f>
        <v>545.22</v>
      </c>
      <c r="F246" s="222"/>
      <c r="G246" s="47"/>
      <c r="H246" s="223"/>
      <c r="I246" s="47"/>
      <c r="J246" s="47"/>
      <c r="K246" s="47"/>
      <c r="L246" s="78"/>
      <c r="M246" s="73"/>
      <c r="N246" s="73"/>
      <c r="O246" s="73"/>
      <c r="P246" s="73"/>
      <c r="Q246" s="73"/>
      <c r="R246" s="73"/>
      <c r="S246" s="73"/>
      <c r="T246" s="73"/>
      <c r="U246" s="73"/>
      <c r="V246" s="73"/>
    </row>
    <row r="247" spans="1:22" s="74" customFormat="1">
      <c r="A247" s="70" t="s">
        <v>570</v>
      </c>
      <c r="B247" s="197" t="s">
        <v>440</v>
      </c>
      <c r="C247" s="200" t="s">
        <v>441</v>
      </c>
      <c r="D247" s="92" t="s">
        <v>29</v>
      </c>
      <c r="E247" s="47">
        <f>(200*1.5)+(1.5*(65.81+34+198.46+4.78+4.46+1.45))+(0.8*49.07)+(1.2*80.4)+145.58+79.42+77.94+43.23</f>
        <v>1245.346</v>
      </c>
      <c r="F247" s="47"/>
      <c r="G247" s="47"/>
      <c r="H247" s="47"/>
      <c r="I247" s="47"/>
      <c r="J247" s="47"/>
      <c r="K247" s="47"/>
      <c r="L247" s="78"/>
      <c r="M247" s="73"/>
      <c r="N247" s="73"/>
      <c r="O247" s="73"/>
      <c r="P247" s="73"/>
      <c r="Q247" s="73"/>
      <c r="R247" s="73"/>
      <c r="S247" s="73"/>
      <c r="T247" s="73"/>
      <c r="U247" s="73"/>
      <c r="V247" s="73"/>
    </row>
    <row r="248" spans="1:22" s="74" customFormat="1">
      <c r="A248" s="70" t="s">
        <v>571</v>
      </c>
      <c r="B248" s="429" t="s">
        <v>707</v>
      </c>
      <c r="C248" s="430" t="s">
        <v>733</v>
      </c>
      <c r="D248" s="182" t="s">
        <v>28</v>
      </c>
      <c r="E248" s="117">
        <f>575.007+21.0803+15</f>
        <v>611.08729999999991</v>
      </c>
      <c r="F248" s="117">
        <f>SUM(F249:F260)</f>
        <v>0</v>
      </c>
      <c r="G248" s="117"/>
      <c r="H248" s="117">
        <f>SUM(H249:H260)</f>
        <v>0</v>
      </c>
      <c r="I248" s="117"/>
      <c r="J248" s="465"/>
      <c r="K248" s="468"/>
      <c r="L248" s="78"/>
      <c r="M248" s="73"/>
      <c r="N248" s="73"/>
      <c r="O248" s="73"/>
      <c r="P248" s="73"/>
      <c r="Q248" s="73"/>
      <c r="R248" s="73"/>
      <c r="S248" s="73"/>
      <c r="T248" s="73"/>
      <c r="U248" s="73"/>
      <c r="V248" s="73"/>
    </row>
    <row r="249" spans="1:22" s="74" customFormat="1">
      <c r="A249" s="72" t="s">
        <v>696</v>
      </c>
      <c r="B249" s="431">
        <v>6430</v>
      </c>
      <c r="C249" s="432" t="s">
        <v>341</v>
      </c>
      <c r="D249" s="433" t="s">
        <v>47</v>
      </c>
      <c r="E249" s="434">
        <f>E248*0.12</f>
        <v>73.33047599999999</v>
      </c>
      <c r="F249" s="117"/>
      <c r="G249" s="117"/>
      <c r="H249" s="117"/>
      <c r="I249" s="117"/>
      <c r="J249" s="466"/>
      <c r="K249" s="469"/>
      <c r="L249" s="78"/>
      <c r="M249" s="73"/>
      <c r="N249" s="73"/>
      <c r="O249" s="73"/>
      <c r="P249" s="73"/>
      <c r="Q249" s="73"/>
      <c r="R249" s="73"/>
      <c r="S249" s="73"/>
      <c r="T249" s="73"/>
      <c r="U249" s="73"/>
      <c r="V249" s="73"/>
    </row>
    <row r="250" spans="1:22" s="74" customFormat="1">
      <c r="A250" s="72" t="s">
        <v>697</v>
      </c>
      <c r="B250" s="431" t="s">
        <v>708</v>
      </c>
      <c r="C250" s="432" t="s">
        <v>713</v>
      </c>
      <c r="D250" s="433" t="s">
        <v>47</v>
      </c>
      <c r="E250" s="434">
        <f>E248*0.015</f>
        <v>9.1663094999999988</v>
      </c>
      <c r="F250" s="117"/>
      <c r="G250" s="117"/>
      <c r="H250" s="117"/>
      <c r="I250" s="117"/>
      <c r="J250" s="466"/>
      <c r="K250" s="469"/>
      <c r="L250" s="78"/>
      <c r="M250" s="73"/>
      <c r="N250" s="73"/>
      <c r="O250" s="73"/>
      <c r="P250" s="73"/>
      <c r="Q250" s="73"/>
      <c r="R250" s="73"/>
      <c r="S250" s="73"/>
      <c r="T250" s="73"/>
      <c r="U250" s="73"/>
      <c r="V250" s="73"/>
    </row>
    <row r="251" spans="1:22" s="74" customFormat="1">
      <c r="A251" s="72" t="s">
        <v>698</v>
      </c>
      <c r="B251" s="431">
        <v>73394</v>
      </c>
      <c r="C251" s="432" t="s">
        <v>714</v>
      </c>
      <c r="D251" s="435" t="s">
        <v>29</v>
      </c>
      <c r="E251" s="434">
        <f>E248*1.47</f>
        <v>898.29833099999985</v>
      </c>
      <c r="F251" s="117"/>
      <c r="G251" s="117"/>
      <c r="H251" s="117"/>
      <c r="I251" s="117"/>
      <c r="J251" s="466"/>
      <c r="K251" s="469"/>
      <c r="L251" s="78"/>
      <c r="M251" s="73"/>
      <c r="N251" s="73"/>
      <c r="O251" s="73"/>
      <c r="P251" s="73"/>
      <c r="Q251" s="73"/>
      <c r="R251" s="73"/>
      <c r="S251" s="73"/>
      <c r="T251" s="73"/>
      <c r="U251" s="73"/>
      <c r="V251" s="73"/>
    </row>
    <row r="252" spans="1:22" s="74" customFormat="1">
      <c r="A252" s="72" t="s">
        <v>699</v>
      </c>
      <c r="B252" s="431">
        <v>6501</v>
      </c>
      <c r="C252" s="436" t="s">
        <v>715</v>
      </c>
      <c r="D252" s="433" t="s">
        <v>47</v>
      </c>
      <c r="E252" s="434">
        <f>E248*0.0724</f>
        <v>44.242720519999999</v>
      </c>
      <c r="F252" s="117"/>
      <c r="G252" s="117"/>
      <c r="H252" s="117"/>
      <c r="I252" s="117"/>
      <c r="J252" s="466"/>
      <c r="K252" s="469"/>
      <c r="L252" s="78"/>
      <c r="M252" s="73"/>
      <c r="N252" s="73"/>
      <c r="O252" s="73"/>
      <c r="P252" s="73"/>
      <c r="Q252" s="73"/>
      <c r="R252" s="73"/>
      <c r="S252" s="73"/>
      <c r="T252" s="73"/>
      <c r="U252" s="73"/>
      <c r="V252" s="73"/>
    </row>
    <row r="253" spans="1:22" s="74" customFormat="1">
      <c r="A253" s="72" t="s">
        <v>700</v>
      </c>
      <c r="B253" s="431">
        <v>4102</v>
      </c>
      <c r="C253" s="436" t="s">
        <v>723</v>
      </c>
      <c r="D253" s="433" t="s">
        <v>724</v>
      </c>
      <c r="E253" s="434">
        <f>E248*0.4</f>
        <v>244.43491999999998</v>
      </c>
      <c r="F253" s="117"/>
      <c r="G253" s="117"/>
      <c r="H253" s="117"/>
      <c r="I253" s="117"/>
      <c r="J253" s="466"/>
      <c r="K253" s="469"/>
      <c r="L253" s="78"/>
      <c r="M253" s="73"/>
      <c r="N253" s="73"/>
      <c r="O253" s="73"/>
      <c r="P253" s="73"/>
      <c r="Q253" s="73"/>
      <c r="R253" s="73"/>
      <c r="S253" s="73"/>
      <c r="T253" s="73"/>
      <c r="U253" s="73"/>
      <c r="V253" s="73"/>
    </row>
    <row r="254" spans="1:22" s="74" customFormat="1">
      <c r="A254" s="72" t="s">
        <v>701</v>
      </c>
      <c r="B254" s="431" t="s">
        <v>709</v>
      </c>
      <c r="C254" s="436" t="s">
        <v>716</v>
      </c>
      <c r="D254" s="433" t="s">
        <v>47</v>
      </c>
      <c r="E254" s="434">
        <f>E248*0.0813685714285714</f>
        <v>49.723300619142833</v>
      </c>
      <c r="F254" s="117"/>
      <c r="G254" s="117"/>
      <c r="H254" s="117"/>
      <c r="I254" s="117"/>
      <c r="J254" s="466"/>
      <c r="K254" s="469"/>
      <c r="L254" s="78"/>
      <c r="M254" s="73"/>
      <c r="N254" s="73"/>
      <c r="O254" s="73"/>
      <c r="P254" s="73"/>
      <c r="Q254" s="73"/>
      <c r="R254" s="73"/>
      <c r="S254" s="73"/>
      <c r="T254" s="73"/>
      <c r="U254" s="73"/>
      <c r="V254" s="73"/>
    </row>
    <row r="255" spans="1:22" s="74" customFormat="1">
      <c r="A255" s="72" t="s">
        <v>702</v>
      </c>
      <c r="B255" s="431" t="s">
        <v>710</v>
      </c>
      <c r="C255" s="436" t="s">
        <v>717</v>
      </c>
      <c r="D255" s="433" t="s">
        <v>29</v>
      </c>
      <c r="E255" s="434">
        <f>E248*1.248</f>
        <v>762.63695039999993</v>
      </c>
      <c r="F255" s="117"/>
      <c r="G255" s="117"/>
      <c r="H255" s="117"/>
      <c r="I255" s="117"/>
      <c r="J255" s="466"/>
      <c r="K255" s="469"/>
      <c r="L255" s="78"/>
      <c r="M255" s="73"/>
      <c r="N255" s="73"/>
      <c r="O255" s="73"/>
      <c r="P255" s="73"/>
      <c r="Q255" s="73"/>
      <c r="R255" s="73"/>
      <c r="S255" s="73"/>
      <c r="T255" s="73"/>
      <c r="U255" s="73"/>
      <c r="V255" s="73"/>
    </row>
    <row r="256" spans="1:22" s="74" customFormat="1">
      <c r="A256" s="72" t="s">
        <v>703</v>
      </c>
      <c r="B256" s="431" t="s">
        <v>711</v>
      </c>
      <c r="C256" s="436" t="s">
        <v>718</v>
      </c>
      <c r="D256" s="433" t="s">
        <v>29</v>
      </c>
      <c r="E256" s="434">
        <f>E248*1.248</f>
        <v>762.63695039999993</v>
      </c>
      <c r="F256" s="117"/>
      <c r="G256" s="117"/>
      <c r="H256" s="117"/>
      <c r="I256" s="117"/>
      <c r="J256" s="466"/>
      <c r="K256" s="469"/>
      <c r="L256" s="78"/>
      <c r="M256" s="73"/>
      <c r="N256" s="73"/>
      <c r="O256" s="73"/>
      <c r="P256" s="73"/>
      <c r="Q256" s="73"/>
      <c r="R256" s="73"/>
      <c r="S256" s="73"/>
      <c r="T256" s="73"/>
      <c r="U256" s="73"/>
      <c r="V256" s="73"/>
    </row>
    <row r="257" spans="1:22" s="74" customFormat="1">
      <c r="A257" s="72" t="s">
        <v>704</v>
      </c>
      <c r="B257" s="431">
        <v>10927</v>
      </c>
      <c r="C257" s="436" t="s">
        <v>719</v>
      </c>
      <c r="D257" s="433" t="s">
        <v>29</v>
      </c>
      <c r="E257" s="434">
        <f>E248*2.32</f>
        <v>1417.7225359999998</v>
      </c>
      <c r="F257" s="117"/>
      <c r="G257" s="117"/>
      <c r="H257" s="117"/>
      <c r="I257" s="117"/>
      <c r="J257" s="466"/>
      <c r="K257" s="469"/>
      <c r="L257" s="78"/>
      <c r="M257" s="73"/>
      <c r="N257" s="73"/>
      <c r="O257" s="73"/>
      <c r="P257" s="73"/>
      <c r="Q257" s="73"/>
      <c r="R257" s="73"/>
      <c r="S257" s="73"/>
      <c r="T257" s="73"/>
      <c r="U257" s="73"/>
      <c r="V257" s="73"/>
    </row>
    <row r="258" spans="1:22" s="74" customFormat="1">
      <c r="A258" s="72" t="s">
        <v>705</v>
      </c>
      <c r="B258" s="431">
        <v>4750</v>
      </c>
      <c r="C258" s="436" t="s">
        <v>720</v>
      </c>
      <c r="D258" s="433" t="s">
        <v>725</v>
      </c>
      <c r="E258" s="434">
        <f>E248*0.8</f>
        <v>488.86983999999995</v>
      </c>
      <c r="F258" s="117"/>
      <c r="G258" s="117"/>
      <c r="H258" s="117"/>
      <c r="I258" s="117"/>
      <c r="J258" s="466"/>
      <c r="K258" s="469"/>
      <c r="L258" s="78"/>
      <c r="M258" s="73"/>
      <c r="N258" s="73"/>
      <c r="O258" s="73"/>
      <c r="P258" s="73"/>
      <c r="Q258" s="73"/>
      <c r="R258" s="73"/>
      <c r="S258" s="73"/>
      <c r="T258" s="73"/>
      <c r="U258" s="73"/>
      <c r="V258" s="73"/>
    </row>
    <row r="259" spans="1:22" s="74" customFormat="1">
      <c r="A259" s="72" t="s">
        <v>706</v>
      </c>
      <c r="B259" s="431">
        <v>6127</v>
      </c>
      <c r="C259" s="436" t="s">
        <v>721</v>
      </c>
      <c r="D259" s="433" t="s">
        <v>725</v>
      </c>
      <c r="E259" s="434">
        <f>E248*1.6</f>
        <v>977.73967999999991</v>
      </c>
      <c r="F259" s="117"/>
      <c r="G259" s="117"/>
      <c r="H259" s="117"/>
      <c r="I259" s="117"/>
      <c r="J259" s="466"/>
      <c r="K259" s="469"/>
      <c r="L259" s="78"/>
      <c r="M259" s="73"/>
      <c r="N259" s="73"/>
      <c r="O259" s="73"/>
      <c r="P259" s="73"/>
      <c r="Q259" s="73"/>
      <c r="R259" s="73"/>
      <c r="S259" s="73"/>
      <c r="T259" s="73"/>
      <c r="U259" s="73"/>
      <c r="V259" s="73"/>
    </row>
    <row r="260" spans="1:22" s="74" customFormat="1">
      <c r="A260" s="72" t="s">
        <v>712</v>
      </c>
      <c r="B260" s="431">
        <v>6111</v>
      </c>
      <c r="C260" s="436" t="s">
        <v>722</v>
      </c>
      <c r="D260" s="433" t="s">
        <v>725</v>
      </c>
      <c r="E260" s="434">
        <f>E248*0.04</f>
        <v>24.443491999999996</v>
      </c>
      <c r="F260" s="117"/>
      <c r="G260" s="117"/>
      <c r="H260" s="117"/>
      <c r="I260" s="117"/>
      <c r="J260" s="467"/>
      <c r="K260" s="470"/>
      <c r="L260" s="78"/>
      <c r="M260" s="73"/>
      <c r="N260" s="73"/>
      <c r="O260" s="73"/>
      <c r="P260" s="73"/>
      <c r="Q260" s="73"/>
      <c r="R260" s="73"/>
      <c r="S260" s="73"/>
      <c r="T260" s="73"/>
      <c r="U260" s="73"/>
      <c r="V260" s="73"/>
    </row>
    <row r="261" spans="1:22" s="74" customFormat="1">
      <c r="A261" s="70" t="s">
        <v>572</v>
      </c>
      <c r="B261" s="429" t="s">
        <v>586</v>
      </c>
      <c r="C261" s="437" t="s">
        <v>658</v>
      </c>
      <c r="D261" s="182" t="s">
        <v>27</v>
      </c>
      <c r="E261" s="117">
        <v>1</v>
      </c>
      <c r="F261" s="117"/>
      <c r="G261" s="117"/>
      <c r="H261" s="117"/>
      <c r="I261" s="117"/>
      <c r="J261" s="117"/>
      <c r="K261" s="47"/>
      <c r="L261" s="78"/>
      <c r="M261" s="73"/>
      <c r="N261" s="73"/>
      <c r="O261" s="73"/>
      <c r="P261" s="73"/>
      <c r="Q261" s="73"/>
      <c r="R261" s="73"/>
      <c r="S261" s="73"/>
      <c r="T261" s="73"/>
      <c r="U261" s="73"/>
      <c r="V261" s="73"/>
    </row>
    <row r="262" spans="1:22" s="74" customFormat="1">
      <c r="A262" s="70" t="s">
        <v>573</v>
      </c>
      <c r="B262" s="429" t="s">
        <v>587</v>
      </c>
      <c r="C262" s="437" t="s">
        <v>659</v>
      </c>
      <c r="D262" s="182" t="s">
        <v>27</v>
      </c>
      <c r="E262" s="117">
        <v>2</v>
      </c>
      <c r="F262" s="117"/>
      <c r="G262" s="117"/>
      <c r="H262" s="117"/>
      <c r="I262" s="117"/>
      <c r="J262" s="117"/>
      <c r="K262" s="47"/>
      <c r="L262" s="78"/>
      <c r="M262" s="73"/>
      <c r="N262" s="73"/>
      <c r="O262" s="73"/>
      <c r="P262" s="73"/>
      <c r="Q262" s="73"/>
      <c r="R262" s="73"/>
      <c r="S262" s="73"/>
      <c r="T262" s="73"/>
      <c r="U262" s="73"/>
      <c r="V262" s="73"/>
    </row>
    <row r="263" spans="1:22" s="74" customFormat="1">
      <c r="A263" s="70" t="s">
        <v>574</v>
      </c>
      <c r="B263" s="197"/>
      <c r="C263" s="49" t="s">
        <v>428</v>
      </c>
      <c r="D263" s="92"/>
      <c r="E263" s="47"/>
      <c r="F263" s="47"/>
      <c r="G263" s="47"/>
      <c r="H263" s="47"/>
      <c r="I263" s="47"/>
      <c r="J263" s="47"/>
      <c r="K263" s="47"/>
      <c r="L263" s="78"/>
      <c r="M263" s="73"/>
      <c r="N263" s="73"/>
      <c r="O263" s="73"/>
      <c r="P263" s="73"/>
      <c r="Q263" s="73"/>
      <c r="R263" s="73"/>
      <c r="S263" s="73"/>
      <c r="T263" s="73"/>
      <c r="U263" s="73"/>
      <c r="V263" s="73"/>
    </row>
    <row r="264" spans="1:22" s="74" customFormat="1">
      <c r="A264" s="70" t="s">
        <v>575</v>
      </c>
      <c r="B264" s="221"/>
      <c r="C264" s="49" t="s">
        <v>429</v>
      </c>
      <c r="D264" s="71"/>
      <c r="E264" s="21"/>
      <c r="F264" s="21"/>
      <c r="G264" s="25"/>
      <c r="H264" s="21"/>
      <c r="I264" s="25"/>
      <c r="J264" s="21"/>
      <c r="K264" s="21"/>
      <c r="L264" s="78"/>
      <c r="M264" s="73"/>
      <c r="N264" s="73"/>
      <c r="O264" s="73"/>
      <c r="P264" s="73"/>
      <c r="Q264" s="73"/>
      <c r="R264" s="73"/>
      <c r="S264" s="73"/>
      <c r="T264" s="73"/>
      <c r="U264" s="73"/>
      <c r="V264" s="73"/>
    </row>
    <row r="265" spans="1:22" s="74" customFormat="1">
      <c r="A265" s="70" t="s">
        <v>576</v>
      </c>
      <c r="B265" s="221"/>
      <c r="C265" s="49" t="s">
        <v>430</v>
      </c>
      <c r="D265" s="71"/>
      <c r="E265" s="21"/>
      <c r="F265" s="21"/>
      <c r="G265" s="25"/>
      <c r="H265" s="21"/>
      <c r="I265" s="25"/>
      <c r="J265" s="21"/>
      <c r="K265" s="21"/>
      <c r="L265" s="78"/>
      <c r="M265" s="73"/>
      <c r="N265" s="73"/>
      <c r="O265" s="73"/>
      <c r="P265" s="73"/>
      <c r="Q265" s="73"/>
      <c r="R265" s="73"/>
      <c r="S265" s="73"/>
      <c r="T265" s="73"/>
      <c r="U265" s="73"/>
      <c r="V265" s="73"/>
    </row>
    <row r="266" spans="1:22" s="74" customFormat="1">
      <c r="A266" s="70" t="s">
        <v>577</v>
      </c>
      <c r="B266" s="221"/>
      <c r="C266" s="49" t="s">
        <v>432</v>
      </c>
      <c r="D266" s="71"/>
      <c r="E266" s="21"/>
      <c r="F266" s="21"/>
      <c r="G266" s="25"/>
      <c r="H266" s="21"/>
      <c r="I266" s="25"/>
      <c r="J266" s="21"/>
      <c r="K266" s="21"/>
      <c r="L266" s="78"/>
      <c r="M266" s="73"/>
      <c r="N266" s="73"/>
      <c r="O266" s="73"/>
      <c r="P266" s="73"/>
      <c r="Q266" s="73"/>
      <c r="R266" s="73"/>
      <c r="S266" s="73"/>
      <c r="T266" s="73"/>
      <c r="U266" s="73"/>
      <c r="V266" s="73"/>
    </row>
    <row r="267" spans="1:22" s="74" customFormat="1">
      <c r="A267" s="70" t="s">
        <v>578</v>
      </c>
      <c r="B267" s="221"/>
      <c r="C267" s="49" t="s">
        <v>431</v>
      </c>
      <c r="D267" s="71"/>
      <c r="E267" s="21"/>
      <c r="F267" s="21"/>
      <c r="G267" s="25"/>
      <c r="H267" s="21"/>
      <c r="I267" s="25"/>
      <c r="J267" s="21"/>
      <c r="K267" s="21"/>
      <c r="L267" s="78"/>
      <c r="M267" s="73"/>
      <c r="N267" s="73"/>
      <c r="O267" s="73"/>
      <c r="P267" s="73"/>
      <c r="Q267" s="73"/>
      <c r="R267" s="73"/>
      <c r="S267" s="73"/>
      <c r="T267" s="73"/>
      <c r="U267" s="73"/>
      <c r="V267" s="73"/>
    </row>
    <row r="268" spans="1:22" s="74" customFormat="1">
      <c r="A268" s="70" t="s">
        <v>579</v>
      </c>
      <c r="B268" s="221"/>
      <c r="C268" s="49" t="s">
        <v>433</v>
      </c>
      <c r="D268" s="71"/>
      <c r="E268" s="21"/>
      <c r="F268" s="21"/>
      <c r="G268" s="25"/>
      <c r="H268" s="21"/>
      <c r="I268" s="25"/>
      <c r="J268" s="21"/>
      <c r="K268" s="21"/>
      <c r="L268" s="78"/>
      <c r="M268" s="73"/>
      <c r="N268" s="73"/>
      <c r="O268" s="73"/>
      <c r="P268" s="73"/>
      <c r="Q268" s="73"/>
      <c r="R268" s="73"/>
      <c r="S268" s="73"/>
      <c r="T268" s="73"/>
      <c r="U268" s="73"/>
      <c r="V268" s="73"/>
    </row>
    <row r="269" spans="1:22" s="74" customFormat="1">
      <c r="A269" s="70" t="s">
        <v>580</v>
      </c>
      <c r="B269" s="221"/>
      <c r="C269" s="229" t="s">
        <v>434</v>
      </c>
      <c r="D269" s="71"/>
      <c r="E269" s="21"/>
      <c r="F269" s="21"/>
      <c r="G269" s="25"/>
      <c r="H269" s="21"/>
      <c r="I269" s="25"/>
      <c r="J269" s="21"/>
      <c r="K269" s="21"/>
      <c r="L269" s="78"/>
      <c r="M269" s="73"/>
      <c r="N269" s="73"/>
      <c r="O269" s="73"/>
      <c r="P269" s="73"/>
      <c r="Q269" s="73"/>
      <c r="R269" s="73"/>
      <c r="S269" s="73"/>
      <c r="T269" s="73"/>
      <c r="U269" s="73"/>
      <c r="V269" s="73"/>
    </row>
    <row r="270" spans="1:22" s="74" customFormat="1">
      <c r="A270" s="70" t="s">
        <v>581</v>
      </c>
      <c r="B270" s="221"/>
      <c r="C270" s="49" t="s">
        <v>435</v>
      </c>
      <c r="D270" s="71"/>
      <c r="E270" s="21"/>
      <c r="F270" s="21"/>
      <c r="G270" s="25"/>
      <c r="H270" s="21"/>
      <c r="I270" s="25"/>
      <c r="J270" s="21"/>
      <c r="K270" s="21"/>
      <c r="L270" s="78"/>
      <c r="M270" s="73"/>
      <c r="N270" s="73"/>
      <c r="O270" s="73"/>
      <c r="P270" s="73"/>
      <c r="Q270" s="73"/>
      <c r="R270" s="73"/>
      <c r="S270" s="73"/>
      <c r="T270" s="73"/>
      <c r="U270" s="73"/>
      <c r="V270" s="73"/>
    </row>
    <row r="271" spans="1:22" s="74" customFormat="1">
      <c r="A271" s="70" t="s">
        <v>584</v>
      </c>
      <c r="B271" s="221"/>
      <c r="C271" s="49" t="s">
        <v>551</v>
      </c>
      <c r="D271" s="71"/>
      <c r="E271" s="21"/>
      <c r="F271" s="21"/>
      <c r="G271" s="25"/>
      <c r="H271" s="21"/>
      <c r="I271" s="25"/>
      <c r="J271" s="21"/>
      <c r="K271" s="21"/>
      <c r="L271" s="78"/>
      <c r="M271" s="73"/>
      <c r="N271" s="73"/>
      <c r="O271" s="73"/>
      <c r="P271" s="73"/>
      <c r="Q271" s="73"/>
      <c r="R271" s="73"/>
      <c r="S271" s="73"/>
      <c r="T271" s="73"/>
      <c r="U271" s="73"/>
      <c r="V271" s="73"/>
    </row>
    <row r="272" spans="1:22" s="74" customFormat="1">
      <c r="A272" s="70" t="s">
        <v>585</v>
      </c>
      <c r="B272" s="221"/>
      <c r="C272" s="49" t="s">
        <v>552</v>
      </c>
      <c r="D272" s="71"/>
      <c r="E272" s="21"/>
      <c r="F272" s="21"/>
      <c r="G272" s="25"/>
      <c r="H272" s="21"/>
      <c r="I272" s="25"/>
      <c r="J272" s="21"/>
      <c r="K272" s="21"/>
      <c r="L272" s="78"/>
      <c r="M272" s="73"/>
      <c r="N272" s="73"/>
      <c r="O272" s="73"/>
      <c r="P272" s="73"/>
      <c r="Q272" s="73"/>
      <c r="R272" s="73"/>
      <c r="S272" s="73"/>
      <c r="T272" s="73"/>
      <c r="U272" s="73"/>
      <c r="V272" s="73"/>
    </row>
    <row r="273" spans="1:22" s="74" customFormat="1">
      <c r="A273" s="462" t="s">
        <v>161</v>
      </c>
      <c r="B273" s="463"/>
      <c r="C273" s="463"/>
      <c r="D273" s="463"/>
      <c r="E273" s="463"/>
      <c r="F273" s="463"/>
      <c r="G273" s="463"/>
      <c r="H273" s="463"/>
      <c r="I273" s="464"/>
      <c r="J273" s="285"/>
      <c r="K273" s="285"/>
      <c r="L273" s="79"/>
      <c r="M273" s="73"/>
      <c r="N273" s="73"/>
      <c r="O273" s="73"/>
      <c r="P273" s="73"/>
      <c r="Q273" s="73"/>
      <c r="R273" s="73"/>
      <c r="S273" s="73"/>
      <c r="T273" s="73"/>
      <c r="U273" s="73"/>
      <c r="V273" s="73"/>
    </row>
    <row r="274" spans="1:22">
      <c r="A274" s="60" t="s">
        <v>119</v>
      </c>
      <c r="B274" s="458" t="s">
        <v>25</v>
      </c>
      <c r="C274" s="459"/>
      <c r="D274" s="459"/>
      <c r="E274" s="459"/>
      <c r="F274" s="459"/>
      <c r="G274" s="459"/>
      <c r="H274" s="459"/>
      <c r="I274" s="459"/>
      <c r="J274" s="459"/>
      <c r="K274" s="459"/>
      <c r="L274" s="83"/>
    </row>
    <row r="275" spans="1:22">
      <c r="A275" s="36" t="s">
        <v>121</v>
      </c>
      <c r="B275" s="36"/>
      <c r="C275" s="24" t="s">
        <v>26</v>
      </c>
      <c r="D275" s="5" t="s">
        <v>29</v>
      </c>
      <c r="E275" s="47">
        <f>E19</f>
        <v>3024.1859999999997</v>
      </c>
      <c r="F275" s="25"/>
      <c r="G275" s="25"/>
      <c r="H275" s="25"/>
      <c r="I275" s="25"/>
      <c r="J275" s="21"/>
      <c r="K275" s="21"/>
    </row>
    <row r="276" spans="1:22" s="53" customFormat="1">
      <c r="A276" s="36" t="s">
        <v>122</v>
      </c>
      <c r="B276" s="48"/>
      <c r="C276" s="49" t="s">
        <v>428</v>
      </c>
      <c r="D276" s="50"/>
      <c r="E276" s="47"/>
      <c r="F276" s="47"/>
      <c r="G276" s="47"/>
      <c r="H276" s="47"/>
      <c r="I276" s="47"/>
      <c r="J276" s="47"/>
      <c r="K276" s="47"/>
    </row>
    <row r="277" spans="1:22" s="53" customFormat="1">
      <c r="A277" s="36" t="s">
        <v>123</v>
      </c>
      <c r="B277" s="48"/>
      <c r="C277" s="49" t="s">
        <v>429</v>
      </c>
      <c r="D277" s="50"/>
      <c r="E277" s="47"/>
      <c r="F277" s="47"/>
      <c r="G277" s="47"/>
      <c r="H277" s="47"/>
      <c r="I277" s="47"/>
      <c r="J277" s="47"/>
      <c r="K277" s="47"/>
    </row>
    <row r="278" spans="1:22" s="53" customFormat="1">
      <c r="A278" s="36" t="s">
        <v>484</v>
      </c>
      <c r="B278" s="48"/>
      <c r="C278" s="49" t="s">
        <v>430</v>
      </c>
      <c r="D278" s="50"/>
      <c r="E278" s="47"/>
      <c r="F278" s="47"/>
      <c r="G278" s="47"/>
      <c r="H278" s="47"/>
      <c r="I278" s="47"/>
      <c r="J278" s="47"/>
      <c r="K278" s="47"/>
    </row>
    <row r="279" spans="1:22" s="53" customFormat="1">
      <c r="A279" s="36" t="s">
        <v>485</v>
      </c>
      <c r="B279" s="48"/>
      <c r="C279" s="49" t="s">
        <v>432</v>
      </c>
      <c r="D279" s="50"/>
      <c r="E279" s="47"/>
      <c r="F279" s="47"/>
      <c r="G279" s="47"/>
      <c r="H279" s="47"/>
      <c r="I279" s="47"/>
      <c r="J279" s="47"/>
      <c r="K279" s="47"/>
    </row>
    <row r="280" spans="1:22" s="53" customFormat="1">
      <c r="A280" s="36" t="s">
        <v>486</v>
      </c>
      <c r="B280" s="48"/>
      <c r="C280" s="49" t="s">
        <v>431</v>
      </c>
      <c r="D280" s="50"/>
      <c r="E280" s="47"/>
      <c r="F280" s="47"/>
      <c r="G280" s="47"/>
      <c r="H280" s="47"/>
      <c r="I280" s="47"/>
      <c r="J280" s="47"/>
      <c r="K280" s="47"/>
    </row>
    <row r="281" spans="1:22" s="53" customFormat="1">
      <c r="A281" s="36" t="s">
        <v>487</v>
      </c>
      <c r="B281" s="48"/>
      <c r="C281" s="49" t="s">
        <v>433</v>
      </c>
      <c r="D281" s="50"/>
      <c r="E281" s="47"/>
      <c r="F281" s="47"/>
      <c r="G281" s="47"/>
      <c r="H281" s="47"/>
      <c r="I281" s="47"/>
      <c r="J281" s="47"/>
      <c r="K281" s="47"/>
    </row>
    <row r="282" spans="1:22" s="53" customFormat="1">
      <c r="A282" s="36" t="s">
        <v>488</v>
      </c>
      <c r="B282" s="48"/>
      <c r="C282" s="229" t="s">
        <v>434</v>
      </c>
      <c r="D282" s="50"/>
      <c r="E282" s="47"/>
      <c r="F282" s="47"/>
      <c r="G282" s="47"/>
      <c r="H282" s="47"/>
      <c r="I282" s="47"/>
      <c r="J282" s="47"/>
      <c r="K282" s="47"/>
    </row>
    <row r="283" spans="1:22" s="53" customFormat="1">
      <c r="A283" s="36" t="s">
        <v>489</v>
      </c>
      <c r="B283" s="48"/>
      <c r="C283" s="49" t="s">
        <v>435</v>
      </c>
      <c r="D283" s="50"/>
      <c r="E283" s="47"/>
      <c r="F283" s="47"/>
      <c r="G283" s="47"/>
      <c r="H283" s="47"/>
      <c r="I283" s="47"/>
      <c r="J283" s="47"/>
      <c r="K283" s="47"/>
    </row>
    <row r="284" spans="1:22" s="53" customFormat="1">
      <c r="A284" s="36" t="s">
        <v>490</v>
      </c>
      <c r="B284" s="48"/>
      <c r="C284" s="49" t="s">
        <v>551</v>
      </c>
      <c r="D284" s="50"/>
      <c r="E284" s="47"/>
      <c r="F284" s="47"/>
      <c r="G284" s="47"/>
      <c r="H284" s="47"/>
      <c r="I284" s="47"/>
      <c r="J284" s="47"/>
      <c r="K284" s="47"/>
    </row>
    <row r="285" spans="1:22" s="53" customFormat="1">
      <c r="A285" s="36" t="s">
        <v>491</v>
      </c>
      <c r="B285" s="48"/>
      <c r="C285" s="49" t="s">
        <v>552</v>
      </c>
      <c r="D285" s="50"/>
      <c r="E285" s="47"/>
      <c r="F285" s="47"/>
      <c r="G285" s="47"/>
      <c r="H285" s="47"/>
      <c r="I285" s="47"/>
      <c r="J285" s="47"/>
      <c r="K285" s="47"/>
    </row>
    <row r="286" spans="1:22" s="53" customFormat="1">
      <c r="A286" s="36" t="s">
        <v>568</v>
      </c>
      <c r="B286" s="48"/>
      <c r="C286" s="76" t="s">
        <v>130</v>
      </c>
      <c r="D286" s="50" t="s">
        <v>167</v>
      </c>
      <c r="E286" s="47">
        <v>1</v>
      </c>
      <c r="F286" s="47"/>
      <c r="G286" s="47"/>
      <c r="H286" s="47"/>
      <c r="I286" s="47"/>
      <c r="J286" s="47"/>
      <c r="K286" s="47"/>
    </row>
    <row r="287" spans="1:22" s="53" customFormat="1">
      <c r="A287" s="36" t="s">
        <v>569</v>
      </c>
      <c r="B287" s="48"/>
      <c r="C287" s="76" t="s">
        <v>131</v>
      </c>
      <c r="D287" s="50" t="s">
        <v>167</v>
      </c>
      <c r="E287" s="47">
        <v>1</v>
      </c>
      <c r="F287" s="47"/>
      <c r="G287" s="47"/>
      <c r="H287" s="47"/>
      <c r="I287" s="47"/>
      <c r="J287" s="47"/>
      <c r="K287" s="47"/>
    </row>
    <row r="288" spans="1:22">
      <c r="A288" s="479" t="s">
        <v>124</v>
      </c>
      <c r="B288" s="480"/>
      <c r="C288" s="480"/>
      <c r="D288" s="480"/>
      <c r="E288" s="480"/>
      <c r="F288" s="480"/>
      <c r="G288" s="480"/>
      <c r="H288" s="480"/>
      <c r="I288" s="481"/>
      <c r="J288" s="285"/>
      <c r="K288" s="286"/>
    </row>
    <row r="289" spans="1:11" s="26" customFormat="1">
      <c r="A289" s="20"/>
      <c r="B289" s="75"/>
      <c r="C289" s="460"/>
      <c r="D289" s="460"/>
      <c r="E289" s="460"/>
      <c r="F289" s="460"/>
      <c r="G289" s="460"/>
      <c r="H289" s="460"/>
      <c r="I289" s="460"/>
      <c r="J289" s="460"/>
      <c r="K289" s="461"/>
    </row>
    <row r="290" spans="1:11" s="69" customFormat="1" ht="15.75">
      <c r="A290" s="445" t="s">
        <v>14</v>
      </c>
      <c r="B290" s="446"/>
      <c r="C290" s="446"/>
      <c r="D290" s="446"/>
      <c r="E290" s="446"/>
      <c r="F290" s="446"/>
      <c r="G290" s="446"/>
      <c r="H290" s="446"/>
      <c r="I290" s="447"/>
      <c r="J290" s="68"/>
      <c r="K290" s="68"/>
    </row>
    <row r="292" spans="1:11">
      <c r="H292" s="43"/>
      <c r="I292" s="12"/>
    </row>
    <row r="293" spans="1:11">
      <c r="I293" s="31"/>
    </row>
    <row r="295" spans="1:11">
      <c r="A295" s="28"/>
      <c r="B295" s="28"/>
      <c r="C295" s="28"/>
      <c r="D295" s="29"/>
      <c r="E295" s="30"/>
      <c r="F295" s="28"/>
      <c r="G295" s="28"/>
      <c r="H295" s="28"/>
      <c r="I295" s="28"/>
      <c r="J295" s="28"/>
    </row>
    <row r="296" spans="1:11">
      <c r="A296" s="28"/>
      <c r="B296" s="28"/>
      <c r="C296" s="28"/>
      <c r="D296" s="29"/>
      <c r="E296" s="30"/>
      <c r="F296" s="28"/>
      <c r="G296" s="30"/>
      <c r="H296" s="28"/>
      <c r="I296" s="30"/>
      <c r="J296" s="30"/>
    </row>
    <row r="297" spans="1:11">
      <c r="A297" s="28"/>
      <c r="B297" s="28"/>
      <c r="C297" s="28"/>
      <c r="D297" s="29"/>
      <c r="E297" s="30"/>
      <c r="F297" s="28"/>
      <c r="G297" s="30"/>
      <c r="H297" s="28"/>
      <c r="I297" s="30"/>
      <c r="J297" s="30"/>
    </row>
    <row r="298" spans="1:11">
      <c r="A298" s="28"/>
      <c r="B298" s="28"/>
      <c r="C298" s="28"/>
      <c r="D298" s="29"/>
      <c r="E298" s="30"/>
      <c r="F298" s="28"/>
      <c r="G298" s="30"/>
      <c r="H298" s="28"/>
      <c r="I298" s="30"/>
      <c r="J298" s="30"/>
    </row>
    <row r="299" spans="1:11">
      <c r="A299" s="28"/>
      <c r="B299" s="28"/>
      <c r="C299" s="28"/>
      <c r="D299" s="29"/>
      <c r="E299" s="30"/>
      <c r="F299" s="28"/>
      <c r="G299" s="30"/>
      <c r="H299" s="28"/>
      <c r="I299" s="30"/>
      <c r="J299" s="30"/>
    </row>
    <row r="300" spans="1:11">
      <c r="A300" s="28"/>
      <c r="B300" s="28"/>
      <c r="C300" s="28"/>
      <c r="D300" s="29"/>
      <c r="E300" s="30"/>
      <c r="F300" s="28"/>
      <c r="G300" s="30"/>
      <c r="H300" s="28"/>
      <c r="I300" s="30"/>
      <c r="J300" s="30"/>
    </row>
    <row r="301" spans="1:11">
      <c r="A301" s="28"/>
      <c r="B301" s="28"/>
      <c r="C301" s="28"/>
      <c r="D301" s="29"/>
      <c r="E301" s="30"/>
      <c r="F301" s="28"/>
      <c r="G301" s="30"/>
      <c r="H301" s="28"/>
      <c r="I301" s="30"/>
      <c r="J301" s="30"/>
    </row>
    <row r="302" spans="1:11">
      <c r="A302" s="28"/>
      <c r="B302" s="28"/>
      <c r="C302" s="28"/>
      <c r="D302" s="29"/>
      <c r="E302" s="30"/>
      <c r="F302" s="28"/>
      <c r="G302" s="30"/>
      <c r="H302" s="28"/>
      <c r="I302" s="30"/>
      <c r="J302" s="30"/>
    </row>
    <row r="303" spans="1:11">
      <c r="A303" s="28"/>
      <c r="B303" s="28"/>
      <c r="C303" s="28"/>
      <c r="D303" s="29"/>
      <c r="E303" s="30"/>
      <c r="F303" s="28"/>
      <c r="G303" s="30"/>
      <c r="H303" s="28"/>
      <c r="I303" s="30"/>
      <c r="J303" s="30"/>
    </row>
    <row r="304" spans="1:11">
      <c r="A304" s="31"/>
      <c r="B304" s="31"/>
      <c r="C304" s="31"/>
      <c r="D304" s="32"/>
      <c r="E304" s="45"/>
      <c r="F304" s="31"/>
      <c r="G304" s="31"/>
      <c r="H304" s="31"/>
      <c r="I304" s="31"/>
      <c r="J304" s="31"/>
    </row>
    <row r="305" spans="1:11">
      <c r="A305" s="28"/>
      <c r="B305" s="28"/>
      <c r="C305" s="28"/>
      <c r="D305" s="29"/>
      <c r="E305" s="30"/>
      <c r="F305" s="28"/>
      <c r="G305" s="30"/>
      <c r="H305" s="28"/>
      <c r="I305" s="30"/>
      <c r="J305" s="30"/>
    </row>
    <row r="306" spans="1:11">
      <c r="A306" s="28"/>
      <c r="B306" s="28"/>
      <c r="C306" s="28"/>
      <c r="D306" s="29"/>
      <c r="E306" s="30"/>
      <c r="F306" s="28"/>
      <c r="G306" s="30"/>
      <c r="H306" s="28"/>
      <c r="I306" s="30"/>
      <c r="J306" s="30"/>
    </row>
    <row r="307" spans="1:11">
      <c r="A307" s="28"/>
      <c r="B307" s="28"/>
      <c r="C307" s="28"/>
      <c r="D307" s="29"/>
      <c r="E307" s="30"/>
      <c r="F307" s="30"/>
      <c r="G307" s="30"/>
      <c r="H307" s="28"/>
      <c r="I307" s="30"/>
      <c r="J307" s="30"/>
    </row>
    <row r="308" spans="1:11">
      <c r="A308" s="28"/>
      <c r="B308" s="28"/>
      <c r="C308" s="28"/>
      <c r="D308" s="29"/>
      <c r="E308" s="30"/>
      <c r="F308" s="30"/>
      <c r="G308" s="30"/>
      <c r="H308" s="28"/>
      <c r="I308" s="30"/>
      <c r="J308" s="30"/>
    </row>
    <row r="309" spans="1:11">
      <c r="A309" s="28"/>
      <c r="B309" s="28"/>
      <c r="C309" s="28"/>
      <c r="D309" s="29"/>
      <c r="E309" s="30"/>
      <c r="F309" s="30"/>
      <c r="G309" s="30"/>
      <c r="H309" s="28"/>
      <c r="I309" s="30"/>
      <c r="J309" s="30"/>
    </row>
    <row r="310" spans="1:11">
      <c r="A310" s="28"/>
      <c r="B310" s="28"/>
      <c r="C310" s="28"/>
      <c r="D310" s="29"/>
      <c r="E310" s="30"/>
      <c r="F310" s="30"/>
      <c r="G310" s="30"/>
      <c r="H310" s="28"/>
      <c r="I310" s="30"/>
      <c r="J310" s="30"/>
    </row>
    <row r="311" spans="1:11">
      <c r="A311" s="28"/>
      <c r="B311" s="28"/>
      <c r="C311" s="28"/>
      <c r="D311" s="29"/>
      <c r="E311" s="30"/>
      <c r="F311" s="30"/>
      <c r="G311" s="30"/>
      <c r="H311" s="28"/>
      <c r="I311" s="30"/>
      <c r="J311" s="30"/>
    </row>
    <row r="312" spans="1:11">
      <c r="A312" s="28"/>
      <c r="B312" s="28"/>
      <c r="C312" s="28"/>
      <c r="D312" s="29"/>
      <c r="E312" s="30"/>
      <c r="F312" s="30"/>
      <c r="G312" s="30"/>
      <c r="H312" s="28"/>
      <c r="I312" s="30"/>
      <c r="J312" s="30"/>
    </row>
    <row r="313" spans="1:11">
      <c r="A313" s="28"/>
      <c r="B313" s="28"/>
      <c r="C313" s="28"/>
      <c r="D313" s="29"/>
      <c r="E313" s="30"/>
      <c r="F313" s="30"/>
      <c r="G313" s="30"/>
      <c r="H313" s="30"/>
      <c r="I313" s="30"/>
      <c r="J313" s="30"/>
    </row>
    <row r="314" spans="1:11">
      <c r="A314" s="28"/>
      <c r="B314" s="28"/>
      <c r="C314" s="28"/>
      <c r="D314" s="29"/>
      <c r="E314" s="30"/>
      <c r="F314" s="28"/>
      <c r="G314" s="30"/>
      <c r="H314" s="28"/>
      <c r="I314" s="30"/>
      <c r="J314" s="30"/>
    </row>
    <row r="315" spans="1:11">
      <c r="A315" s="28"/>
      <c r="B315" s="28"/>
      <c r="C315" s="28"/>
      <c r="D315" s="29"/>
      <c r="E315" s="30"/>
      <c r="F315" s="30"/>
      <c r="G315" s="30"/>
      <c r="H315" s="28"/>
      <c r="I315" s="30"/>
      <c r="J315" s="30"/>
    </row>
    <row r="316" spans="1:11">
      <c r="A316" s="28"/>
      <c r="B316" s="28"/>
      <c r="C316" s="28"/>
      <c r="D316" s="29"/>
      <c r="E316" s="30"/>
      <c r="F316" s="30"/>
      <c r="G316" s="30"/>
      <c r="H316" s="28"/>
      <c r="I316" s="30"/>
      <c r="J316" s="30"/>
    </row>
    <row r="317" spans="1:11">
      <c r="A317" s="28"/>
      <c r="B317" s="28"/>
      <c r="C317" s="28"/>
      <c r="D317" s="29"/>
      <c r="E317" s="30"/>
      <c r="F317" s="28"/>
      <c r="G317" s="30"/>
      <c r="H317" s="28"/>
      <c r="I317" s="30"/>
      <c r="J317" s="30"/>
      <c r="K317" s="26"/>
    </row>
    <row r="318" spans="1:11">
      <c r="A318" s="33"/>
      <c r="B318" s="33"/>
      <c r="C318" s="34"/>
      <c r="D318" s="35"/>
      <c r="E318" s="46"/>
      <c r="F318" s="33"/>
      <c r="G318" s="30"/>
      <c r="H318" s="33"/>
      <c r="I318" s="30"/>
      <c r="J318" s="30"/>
    </row>
    <row r="319" spans="1:11">
      <c r="A319" s="28"/>
      <c r="B319" s="28"/>
      <c r="C319" s="28"/>
      <c r="D319" s="29"/>
      <c r="E319" s="30"/>
      <c r="F319" s="28"/>
      <c r="G319" s="30"/>
      <c r="H319" s="28"/>
      <c r="I319" s="30"/>
      <c r="J319" s="30"/>
    </row>
    <row r="320" spans="1:11">
      <c r="A320" s="28"/>
      <c r="B320" s="28"/>
      <c r="C320" s="28"/>
      <c r="D320" s="29"/>
      <c r="E320" s="30"/>
      <c r="F320" s="28"/>
      <c r="G320" s="30"/>
      <c r="H320" s="28"/>
      <c r="I320" s="30"/>
      <c r="J320" s="30"/>
    </row>
    <row r="321" spans="1:11">
      <c r="A321" s="28"/>
      <c r="B321" s="28"/>
      <c r="C321" s="28"/>
      <c r="D321" s="29"/>
      <c r="E321" s="30"/>
      <c r="F321" s="28"/>
      <c r="G321" s="30"/>
      <c r="H321" s="28"/>
      <c r="I321" s="30"/>
      <c r="J321" s="30"/>
    </row>
    <row r="322" spans="1:11">
      <c r="A322" s="28"/>
      <c r="B322" s="28"/>
      <c r="C322" s="28"/>
      <c r="D322" s="29"/>
      <c r="E322" s="30"/>
      <c r="F322" s="28"/>
      <c r="G322" s="30"/>
      <c r="H322" s="28"/>
      <c r="I322" s="30"/>
      <c r="J322" s="30"/>
    </row>
    <row r="323" spans="1:11">
      <c r="A323" s="28"/>
      <c r="B323" s="28"/>
      <c r="C323" s="28"/>
      <c r="D323" s="29"/>
      <c r="E323" s="30"/>
      <c r="F323" s="30"/>
      <c r="G323" s="30"/>
      <c r="H323" s="30"/>
      <c r="I323" s="30"/>
      <c r="J323" s="30"/>
    </row>
    <row r="324" spans="1:11">
      <c r="A324" s="31"/>
      <c r="B324" s="31"/>
      <c r="C324" s="31"/>
      <c r="D324" s="32"/>
      <c r="E324" s="45"/>
      <c r="F324" s="31"/>
      <c r="G324" s="31"/>
      <c r="H324" s="31"/>
      <c r="I324" s="31"/>
      <c r="J324" s="31"/>
    </row>
    <row r="325" spans="1:11">
      <c r="A325" s="31"/>
      <c r="B325" s="31"/>
      <c r="C325" s="31"/>
    </row>
    <row r="326" spans="1:11">
      <c r="A326" s="28"/>
      <c r="B326" s="28"/>
      <c r="C326" s="29"/>
      <c r="D326" s="28"/>
      <c r="E326" s="30"/>
      <c r="F326" s="28"/>
      <c r="G326" s="28"/>
      <c r="H326" s="28"/>
      <c r="I326" s="28"/>
      <c r="J326" s="28"/>
      <c r="K326" s="12"/>
    </row>
    <row r="327" spans="1:11">
      <c r="A327" s="28"/>
      <c r="B327" s="28"/>
      <c r="C327" s="28"/>
      <c r="D327" s="29"/>
      <c r="E327" s="30"/>
      <c r="F327" s="30"/>
      <c r="G327" s="30"/>
      <c r="H327" s="30"/>
      <c r="I327" s="30"/>
      <c r="J327" s="30"/>
      <c r="K327" s="28"/>
    </row>
    <row r="328" spans="1:11">
      <c r="A328" s="28"/>
      <c r="B328" s="28"/>
      <c r="C328" s="28"/>
      <c r="D328" s="29"/>
      <c r="E328" s="30"/>
      <c r="F328" s="30"/>
      <c r="G328" s="30"/>
      <c r="H328" s="30"/>
      <c r="I328" s="30"/>
      <c r="J328" s="30"/>
      <c r="K328" s="28"/>
    </row>
    <row r="329" spans="1:11">
      <c r="A329" s="28"/>
      <c r="B329" s="28"/>
      <c r="C329" s="28"/>
      <c r="D329" s="29"/>
      <c r="E329" s="30"/>
      <c r="F329" s="30"/>
      <c r="G329" s="30"/>
      <c r="H329" s="30"/>
      <c r="I329" s="30"/>
      <c r="J329" s="30"/>
      <c r="K329" s="28"/>
    </row>
    <row r="330" spans="1:11">
      <c r="A330" s="28"/>
      <c r="B330" s="28"/>
      <c r="C330" s="28"/>
      <c r="D330" s="29"/>
      <c r="E330" s="30"/>
      <c r="F330" s="30"/>
      <c r="G330" s="30"/>
      <c r="H330" s="30"/>
      <c r="I330" s="30"/>
      <c r="J330" s="30"/>
      <c r="K330" s="28"/>
    </row>
    <row r="331" spans="1:11">
      <c r="A331" s="28"/>
      <c r="B331" s="28"/>
      <c r="C331" s="28"/>
      <c r="D331" s="29"/>
      <c r="E331" s="30"/>
      <c r="F331" s="30"/>
      <c r="G331" s="30"/>
      <c r="H331" s="30"/>
      <c r="I331" s="30"/>
      <c r="J331" s="30"/>
      <c r="K331" s="28"/>
    </row>
    <row r="332" spans="1:11">
      <c r="A332" s="28"/>
      <c r="B332" s="28"/>
      <c r="C332" s="28"/>
      <c r="D332" s="29"/>
      <c r="E332" s="30"/>
      <c r="F332" s="30"/>
      <c r="G332" s="30"/>
      <c r="H332" s="30"/>
      <c r="I332" s="30"/>
      <c r="J332" s="30"/>
      <c r="K332" s="28"/>
    </row>
    <row r="333" spans="1:11">
      <c r="A333" s="28"/>
      <c r="B333" s="28"/>
      <c r="C333" s="28"/>
      <c r="D333" s="29"/>
      <c r="E333" s="30"/>
      <c r="F333" s="30"/>
      <c r="G333" s="30"/>
      <c r="H333" s="30"/>
      <c r="I333" s="30"/>
      <c r="J333" s="30"/>
      <c r="K333" s="28"/>
    </row>
    <row r="334" spans="1:11">
      <c r="A334" s="28"/>
      <c r="B334" s="28"/>
      <c r="C334" s="28"/>
      <c r="D334" s="29"/>
      <c r="E334" s="30"/>
      <c r="F334" s="30"/>
      <c r="G334" s="30"/>
      <c r="H334" s="30"/>
      <c r="I334" s="30"/>
      <c r="J334" s="30"/>
      <c r="K334" s="28"/>
    </row>
    <row r="335" spans="1:11">
      <c r="A335" s="28"/>
      <c r="B335" s="28"/>
      <c r="C335" s="28"/>
      <c r="D335" s="29"/>
      <c r="E335" s="30"/>
      <c r="F335" s="30"/>
      <c r="G335" s="30"/>
      <c r="H335" s="30"/>
      <c r="I335" s="30"/>
      <c r="J335" s="30"/>
      <c r="K335" s="28"/>
    </row>
    <row r="336" spans="1:11">
      <c r="A336" s="28"/>
      <c r="B336" s="28"/>
      <c r="C336" s="28"/>
      <c r="D336" s="29"/>
      <c r="E336" s="30"/>
      <c r="F336" s="30"/>
      <c r="G336" s="30"/>
      <c r="H336" s="30"/>
      <c r="I336" s="30"/>
      <c r="J336" s="30"/>
      <c r="K336" s="28"/>
    </row>
    <row r="337" spans="1:11">
      <c r="A337" s="28"/>
      <c r="B337" s="28"/>
      <c r="C337" s="28"/>
      <c r="D337" s="29"/>
      <c r="E337" s="30"/>
      <c r="F337" s="30"/>
      <c r="G337" s="30"/>
      <c r="H337" s="30"/>
      <c r="I337" s="30"/>
      <c r="J337" s="30"/>
      <c r="K337" s="28"/>
    </row>
    <row r="338" spans="1:11">
      <c r="A338" s="28"/>
      <c r="B338" s="28"/>
      <c r="C338" s="28"/>
      <c r="D338" s="29"/>
      <c r="E338" s="30"/>
      <c r="F338" s="30"/>
      <c r="G338" s="30"/>
      <c r="H338" s="30"/>
      <c r="I338" s="30"/>
      <c r="J338" s="30"/>
      <c r="K338" s="28"/>
    </row>
    <row r="339" spans="1:11">
      <c r="A339" s="28"/>
      <c r="B339" s="28"/>
      <c r="C339" s="28"/>
      <c r="D339" s="29"/>
      <c r="E339" s="30"/>
      <c r="F339" s="30"/>
      <c r="G339" s="30"/>
      <c r="H339" s="30"/>
      <c r="I339" s="30"/>
      <c r="J339" s="30"/>
      <c r="K339" s="28"/>
    </row>
    <row r="340" spans="1:11">
      <c r="A340" s="28"/>
      <c r="B340" s="28"/>
      <c r="C340" s="28"/>
      <c r="D340" s="29"/>
      <c r="E340" s="30"/>
      <c r="F340" s="30"/>
      <c r="G340" s="30"/>
      <c r="H340" s="30"/>
      <c r="I340" s="30"/>
      <c r="J340" s="30"/>
      <c r="K340" s="28"/>
    </row>
    <row r="341" spans="1:11">
      <c r="A341" s="28"/>
      <c r="B341" s="28"/>
      <c r="C341" s="28"/>
      <c r="D341" s="29"/>
      <c r="E341" s="30"/>
      <c r="F341" s="30"/>
      <c r="G341" s="30"/>
      <c r="H341" s="30"/>
      <c r="I341" s="30"/>
      <c r="J341" s="30"/>
      <c r="K341" s="28"/>
    </row>
    <row r="342" spans="1:11">
      <c r="A342" s="28"/>
      <c r="B342" s="28"/>
      <c r="C342" s="28"/>
      <c r="D342" s="29"/>
      <c r="E342" s="30"/>
      <c r="F342" s="30"/>
      <c r="G342" s="30"/>
      <c r="H342" s="30"/>
      <c r="I342" s="30"/>
      <c r="J342" s="30"/>
      <c r="K342" s="28"/>
    </row>
    <row r="343" spans="1:11">
      <c r="A343" s="28"/>
      <c r="B343" s="28"/>
      <c r="C343" s="40"/>
      <c r="D343" s="29"/>
      <c r="E343" s="41"/>
      <c r="F343" s="30"/>
      <c r="G343" s="30"/>
      <c r="H343" s="30"/>
      <c r="I343" s="30"/>
      <c r="J343" s="30"/>
      <c r="K343" s="28"/>
    </row>
    <row r="344" spans="1:11">
      <c r="A344" s="28"/>
      <c r="B344" s="28"/>
      <c r="C344" s="40"/>
      <c r="D344" s="29"/>
      <c r="E344" s="41"/>
      <c r="F344" s="30"/>
      <c r="G344" s="30"/>
      <c r="H344" s="30"/>
      <c r="I344" s="30"/>
      <c r="J344" s="30"/>
      <c r="K344" s="28"/>
    </row>
    <row r="345" spans="1:11">
      <c r="A345" s="28"/>
      <c r="B345" s="28"/>
      <c r="C345" s="40"/>
      <c r="D345" s="29"/>
      <c r="E345" s="41"/>
      <c r="F345" s="30"/>
      <c r="G345" s="30"/>
      <c r="H345" s="30"/>
      <c r="I345" s="30"/>
      <c r="J345" s="30"/>
      <c r="K345" s="28"/>
    </row>
    <row r="346" spans="1:11">
      <c r="A346" s="28"/>
      <c r="B346" s="28"/>
      <c r="C346" s="40"/>
      <c r="D346" s="29"/>
      <c r="E346" s="41"/>
      <c r="F346" s="30"/>
      <c r="G346" s="30"/>
      <c r="H346" s="30"/>
      <c r="I346" s="30"/>
      <c r="J346" s="30"/>
      <c r="K346" s="28"/>
    </row>
    <row r="347" spans="1:11">
      <c r="A347" s="28"/>
      <c r="B347" s="28"/>
      <c r="C347" s="28"/>
      <c r="D347" s="29"/>
      <c r="E347" s="30"/>
      <c r="F347" s="30"/>
      <c r="G347" s="30"/>
      <c r="H347" s="30"/>
      <c r="I347" s="30"/>
      <c r="J347" s="30"/>
      <c r="K347" s="28"/>
    </row>
    <row r="348" spans="1:11">
      <c r="A348" s="28"/>
      <c r="B348" s="28"/>
      <c r="C348" s="28"/>
      <c r="D348" s="42"/>
      <c r="E348" s="30"/>
      <c r="F348" s="30"/>
      <c r="G348" s="30"/>
      <c r="H348" s="30"/>
      <c r="I348" s="30"/>
      <c r="J348" s="30"/>
      <c r="K348" s="28"/>
    </row>
    <row r="349" spans="1:11">
      <c r="A349" s="28"/>
      <c r="B349" s="28"/>
      <c r="C349" s="28"/>
      <c r="D349" s="29"/>
      <c r="E349" s="30"/>
      <c r="F349" s="30"/>
      <c r="G349" s="30"/>
      <c r="H349" s="30"/>
      <c r="I349" s="30"/>
      <c r="J349" s="30"/>
      <c r="K349" s="28"/>
    </row>
    <row r="350" spans="1:11">
      <c r="A350" s="28"/>
      <c r="B350" s="28"/>
      <c r="C350" s="28"/>
      <c r="D350" s="29"/>
      <c r="E350" s="30"/>
      <c r="F350" s="30"/>
      <c r="G350" s="30"/>
      <c r="H350" s="30"/>
      <c r="I350" s="30"/>
      <c r="J350" s="30"/>
      <c r="K350" s="28"/>
    </row>
    <row r="351" spans="1:11">
      <c r="A351" s="28"/>
      <c r="B351" s="28"/>
      <c r="C351" s="28"/>
      <c r="D351" s="29"/>
      <c r="E351" s="30"/>
      <c r="F351" s="30"/>
      <c r="G351" s="30"/>
      <c r="H351" s="30"/>
      <c r="I351" s="30"/>
      <c r="J351" s="30"/>
      <c r="K351" s="28"/>
    </row>
    <row r="352" spans="1:11">
      <c r="A352" s="28"/>
      <c r="B352" s="28"/>
      <c r="C352" s="28"/>
      <c r="D352" s="29"/>
      <c r="E352" s="30"/>
      <c r="F352" s="30"/>
      <c r="G352" s="30"/>
      <c r="H352" s="30"/>
      <c r="I352" s="30"/>
      <c r="J352" s="30"/>
      <c r="K352" s="28"/>
    </row>
    <row r="353" spans="1:11">
      <c r="A353" s="28"/>
      <c r="B353" s="28"/>
      <c r="C353" s="28"/>
      <c r="D353" s="29"/>
      <c r="E353" s="30"/>
      <c r="F353" s="30"/>
      <c r="G353" s="30"/>
      <c r="H353" s="30"/>
      <c r="I353" s="30"/>
      <c r="J353" s="30"/>
      <c r="K353" s="28"/>
    </row>
    <row r="354" spans="1:11">
      <c r="A354" s="28"/>
      <c r="B354" s="28"/>
      <c r="C354" s="28"/>
      <c r="D354" s="29"/>
      <c r="E354" s="30"/>
      <c r="F354" s="30"/>
      <c r="G354" s="30"/>
      <c r="H354" s="30"/>
      <c r="I354" s="30"/>
      <c r="J354" s="30"/>
      <c r="K354" s="28"/>
    </row>
    <row r="355" spans="1:11">
      <c r="A355" s="28"/>
      <c r="B355" s="28"/>
      <c r="C355" s="31"/>
      <c r="D355" s="29"/>
      <c r="E355" s="30"/>
      <c r="F355" s="30"/>
      <c r="G355" s="30"/>
      <c r="H355" s="30"/>
      <c r="I355" s="30"/>
      <c r="J355" s="30"/>
      <c r="K355" s="28"/>
    </row>
    <row r="356" spans="1:11">
      <c r="A356" s="28"/>
      <c r="B356" s="28"/>
      <c r="C356" s="28"/>
      <c r="D356" s="29"/>
      <c r="E356" s="30"/>
      <c r="F356" s="30"/>
      <c r="G356" s="30"/>
      <c r="H356" s="30"/>
      <c r="I356" s="30"/>
      <c r="J356" s="30"/>
      <c r="K356" s="28"/>
    </row>
    <row r="357" spans="1:11">
      <c r="A357" s="28"/>
      <c r="B357" s="28"/>
      <c r="C357" s="28"/>
      <c r="D357" s="29"/>
      <c r="E357" s="30"/>
      <c r="F357" s="30"/>
      <c r="G357" s="30"/>
      <c r="H357" s="30"/>
      <c r="I357" s="30"/>
      <c r="J357" s="30"/>
      <c r="K357" s="28"/>
    </row>
    <row r="358" spans="1:11">
      <c r="A358" s="28"/>
      <c r="B358" s="28"/>
      <c r="C358" s="28"/>
      <c r="D358" s="29"/>
      <c r="E358" s="30"/>
      <c r="F358" s="30"/>
      <c r="G358" s="30"/>
      <c r="H358" s="30"/>
      <c r="I358" s="30"/>
      <c r="J358" s="30"/>
      <c r="K358" s="28"/>
    </row>
    <row r="359" spans="1:11">
      <c r="A359" s="28"/>
      <c r="B359" s="28"/>
      <c r="C359" s="28"/>
      <c r="D359" s="29"/>
      <c r="E359" s="30"/>
      <c r="F359" s="30"/>
      <c r="G359" s="30"/>
      <c r="H359" s="30"/>
      <c r="I359" s="30"/>
      <c r="J359" s="30"/>
      <c r="K359" s="28"/>
    </row>
    <row r="360" spans="1:11">
      <c r="A360" s="28"/>
      <c r="B360" s="28"/>
      <c r="C360" s="28"/>
      <c r="D360" s="29"/>
      <c r="E360" s="30"/>
      <c r="F360" s="30"/>
      <c r="G360" s="30"/>
      <c r="H360" s="30"/>
      <c r="I360" s="30"/>
      <c r="J360" s="30"/>
      <c r="K360" s="28"/>
    </row>
    <row r="361" spans="1:11">
      <c r="A361" s="42"/>
      <c r="B361" s="42"/>
      <c r="C361" s="12"/>
      <c r="D361"/>
      <c r="G361" s="27"/>
    </row>
    <row r="362" spans="1:11">
      <c r="A362" s="42"/>
      <c r="B362" s="42"/>
      <c r="C362" s="12"/>
      <c r="D362"/>
    </row>
    <row r="363" spans="1:11">
      <c r="A363" s="1"/>
      <c r="B363" s="1"/>
      <c r="D363"/>
    </row>
  </sheetData>
  <mergeCells count="50">
    <mergeCell ref="P9:T9"/>
    <mergeCell ref="L9:O9"/>
    <mergeCell ref="D9:D10"/>
    <mergeCell ref="E9:E10"/>
    <mergeCell ref="H9:I9"/>
    <mergeCell ref="F9:G9"/>
    <mergeCell ref="A1:K1"/>
    <mergeCell ref="D5:G5"/>
    <mergeCell ref="A288:I288"/>
    <mergeCell ref="D7:G7"/>
    <mergeCell ref="A43:I43"/>
    <mergeCell ref="A9:A10"/>
    <mergeCell ref="C9:C10"/>
    <mergeCell ref="A30:I30"/>
    <mergeCell ref="A217:I217"/>
    <mergeCell ref="A115:I115"/>
    <mergeCell ref="A204:I204"/>
    <mergeCell ref="A91:I91"/>
    <mergeCell ref="A241:I241"/>
    <mergeCell ref="A67:I67"/>
    <mergeCell ref="A79:I79"/>
    <mergeCell ref="A103:I103"/>
    <mergeCell ref="A127:I127"/>
    <mergeCell ref="B181:K181"/>
    <mergeCell ref="B193:K193"/>
    <mergeCell ref="B205:K205"/>
    <mergeCell ref="B68:K68"/>
    <mergeCell ref="B80:K80"/>
    <mergeCell ref="B92:K92"/>
    <mergeCell ref="B104:K104"/>
    <mergeCell ref="B116:K116"/>
    <mergeCell ref="A192:I192"/>
    <mergeCell ref="A180:I180"/>
    <mergeCell ref="B128:K128"/>
    <mergeCell ref="B9:B10"/>
    <mergeCell ref="B11:K11"/>
    <mergeCell ref="B31:K31"/>
    <mergeCell ref="B44:K44"/>
    <mergeCell ref="B56:K56"/>
    <mergeCell ref="A55:I55"/>
    <mergeCell ref="A290:I290"/>
    <mergeCell ref="B218:K218"/>
    <mergeCell ref="A229:I229"/>
    <mergeCell ref="B230:K230"/>
    <mergeCell ref="B242:K242"/>
    <mergeCell ref="B274:K274"/>
    <mergeCell ref="C289:K289"/>
    <mergeCell ref="A273:I273"/>
    <mergeCell ref="J248:J260"/>
    <mergeCell ref="K248:K260"/>
  </mergeCells>
  <pageMargins left="0.51181102362204722" right="0.51181102362204722" top="0.78740157480314965" bottom="0.78740157480314965" header="0.31496062992125984" footer="0.31496062992125984"/>
  <pageSetup paperSize="9" scale="74" fitToHeight="10" orientation="landscape" r:id="rId1"/>
  <headerFooter>
    <oddFooter>&amp;LGERAL&amp;CPág.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0"/>
  <sheetViews>
    <sheetView zoomScale="90" zoomScaleNormal="90" workbookViewId="0">
      <pane ySplit="10" topLeftCell="A11" activePane="bottomLeft" state="frozen"/>
      <selection pane="bottomLeft" activeCell="A22" sqref="A22:I22"/>
    </sheetView>
  </sheetViews>
  <sheetFormatPr defaultRowHeight="15"/>
  <cols>
    <col min="1" max="1" width="5.7109375" style="2" customWidth="1"/>
    <col min="2" max="2" width="11.28515625" style="2" customWidth="1"/>
    <col min="3" max="3" width="63.7109375" customWidth="1"/>
    <col min="4" max="4" width="9.140625" style="1"/>
    <col min="5" max="5" width="10.7109375" style="27" customWidth="1"/>
    <col min="6" max="9" width="15.7109375" customWidth="1"/>
    <col min="10" max="11" width="13.140625" customWidth="1"/>
    <col min="12" max="12" width="9.42578125" bestFit="1" customWidth="1"/>
    <col min="14" max="14" width="12.5703125" customWidth="1"/>
    <col min="19" max="19" width="12.85546875" customWidth="1"/>
  </cols>
  <sheetData>
    <row r="1" spans="1:20" s="12" customFormat="1" ht="18.75">
      <c r="A1" s="490" t="s">
        <v>30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20">
      <c r="D2" s="3"/>
      <c r="E2" s="44"/>
      <c r="F2" s="1"/>
      <c r="G2" s="1"/>
      <c r="H2" s="1"/>
    </row>
    <row r="3" spans="1:20" ht="18.75">
      <c r="D3" s="51" t="s">
        <v>282</v>
      </c>
      <c r="E3" s="52"/>
      <c r="F3" s="52"/>
      <c r="G3" s="52"/>
      <c r="H3" s="6"/>
      <c r="J3" s="19"/>
      <c r="K3" s="17"/>
    </row>
    <row r="4" spans="1:20">
      <c r="D4" s="66" t="s">
        <v>511</v>
      </c>
      <c r="E4" s="67"/>
      <c r="F4" s="65"/>
      <c r="G4" s="65"/>
      <c r="H4" s="7"/>
      <c r="J4" s="18"/>
      <c r="K4" s="17"/>
    </row>
    <row r="5" spans="1:20">
      <c r="D5" s="491" t="s">
        <v>734</v>
      </c>
      <c r="E5" s="491"/>
      <c r="F5" s="491"/>
      <c r="G5" s="491"/>
      <c r="H5" s="7"/>
      <c r="J5" s="18"/>
      <c r="K5" s="17"/>
    </row>
    <row r="6" spans="1:20">
      <c r="D6" s="55" t="s">
        <v>729</v>
      </c>
      <c r="E6" s="55"/>
      <c r="F6" s="55"/>
      <c r="G6" s="55"/>
      <c r="H6" s="7"/>
      <c r="J6" s="18"/>
      <c r="K6" s="17"/>
    </row>
    <row r="7" spans="1:20">
      <c r="D7" s="491" t="s">
        <v>661</v>
      </c>
      <c r="E7" s="491"/>
      <c r="F7" s="491"/>
      <c r="G7" s="491"/>
      <c r="H7" s="7"/>
      <c r="J7" s="18"/>
      <c r="K7" s="17"/>
    </row>
    <row r="8" spans="1:20">
      <c r="J8" s="17"/>
      <c r="K8" s="17"/>
    </row>
    <row r="9" spans="1:20" s="12" customFormat="1">
      <c r="A9" s="471" t="s">
        <v>0</v>
      </c>
      <c r="B9" s="471" t="s">
        <v>125</v>
      </c>
      <c r="C9" s="471" t="s">
        <v>1</v>
      </c>
      <c r="D9" s="471" t="s">
        <v>2</v>
      </c>
      <c r="E9" s="500" t="s">
        <v>3</v>
      </c>
      <c r="F9" s="504" t="s">
        <v>22</v>
      </c>
      <c r="G9" s="505"/>
      <c r="H9" s="502" t="s">
        <v>23</v>
      </c>
      <c r="I9" s="503"/>
      <c r="J9" s="9" t="s">
        <v>19</v>
      </c>
      <c r="K9" s="16" t="s">
        <v>668</v>
      </c>
      <c r="L9" s="499"/>
      <c r="M9" s="499"/>
      <c r="N9" s="499"/>
      <c r="O9" s="499"/>
      <c r="P9" s="498"/>
      <c r="Q9" s="498"/>
      <c r="R9" s="498"/>
      <c r="S9" s="498"/>
      <c r="T9" s="498"/>
    </row>
    <row r="10" spans="1:20">
      <c r="A10" s="472"/>
      <c r="B10" s="472"/>
      <c r="C10" s="472"/>
      <c r="D10" s="472"/>
      <c r="E10" s="501"/>
      <c r="F10" s="85" t="s">
        <v>20</v>
      </c>
      <c r="G10" s="10" t="s">
        <v>21</v>
      </c>
      <c r="H10" s="10" t="s">
        <v>20</v>
      </c>
      <c r="I10" s="10" t="s">
        <v>21</v>
      </c>
      <c r="J10" s="10" t="s">
        <v>667</v>
      </c>
      <c r="K10" s="37">
        <f>E4</f>
        <v>0</v>
      </c>
      <c r="L10" s="14"/>
      <c r="M10" s="15"/>
      <c r="N10" s="15"/>
      <c r="O10" s="15"/>
      <c r="P10" s="14"/>
      <c r="Q10" s="14"/>
      <c r="R10" s="15"/>
      <c r="S10" s="15"/>
      <c r="T10" s="14"/>
    </row>
    <row r="11" spans="1:20">
      <c r="A11" s="60" t="s">
        <v>4</v>
      </c>
      <c r="B11" s="458" t="s">
        <v>24</v>
      </c>
      <c r="C11" s="459"/>
      <c r="D11" s="459"/>
      <c r="E11" s="459"/>
      <c r="F11" s="459"/>
      <c r="G11" s="459"/>
      <c r="H11" s="459"/>
      <c r="I11" s="459"/>
      <c r="J11" s="459"/>
      <c r="K11" s="473"/>
      <c r="L11" s="11"/>
      <c r="M11" s="11"/>
      <c r="N11" s="11"/>
      <c r="O11" s="11"/>
      <c r="P11" s="11"/>
      <c r="Q11" s="11"/>
      <c r="R11" s="11"/>
      <c r="S11" s="11"/>
      <c r="T11" s="11"/>
    </row>
    <row r="12" spans="1:20" s="53" customFormat="1">
      <c r="A12" s="48" t="s">
        <v>8</v>
      </c>
      <c r="B12" s="84">
        <v>73672</v>
      </c>
      <c r="C12" s="49" t="s">
        <v>163</v>
      </c>
      <c r="D12" s="50" t="s">
        <v>29</v>
      </c>
      <c r="E12" s="47">
        <v>50.45</v>
      </c>
      <c r="F12" s="47"/>
      <c r="G12" s="47"/>
      <c r="H12" s="47"/>
      <c r="I12" s="47"/>
      <c r="J12" s="47"/>
      <c r="K12" s="47"/>
      <c r="L12" s="11"/>
      <c r="M12" s="11"/>
      <c r="N12" s="11"/>
      <c r="O12" s="11"/>
      <c r="P12" s="11"/>
      <c r="Q12" s="11"/>
      <c r="R12" s="11"/>
      <c r="S12" s="11"/>
      <c r="T12" s="11"/>
    </row>
    <row r="13" spans="1:20" s="53" customFormat="1" ht="24.75">
      <c r="A13" s="48" t="s">
        <v>9</v>
      </c>
      <c r="B13" s="195" t="s">
        <v>176</v>
      </c>
      <c r="C13" s="58" t="s">
        <v>177</v>
      </c>
      <c r="D13" s="50" t="s">
        <v>29</v>
      </c>
      <c r="E13" s="47">
        <v>29.74</v>
      </c>
      <c r="F13" s="47"/>
      <c r="G13" s="47"/>
      <c r="H13" s="47"/>
      <c r="I13" s="47"/>
      <c r="J13" s="47"/>
      <c r="K13" s="47"/>
      <c r="L13" s="11"/>
      <c r="M13" s="11"/>
      <c r="N13" s="11"/>
      <c r="O13" s="11"/>
      <c r="P13" s="11"/>
      <c r="Q13" s="11"/>
      <c r="R13" s="11"/>
      <c r="S13" s="11"/>
      <c r="T13" s="11"/>
    </row>
    <row r="14" spans="1:20">
      <c r="A14" s="494" t="s">
        <v>15</v>
      </c>
      <c r="B14" s="494"/>
      <c r="C14" s="495"/>
      <c r="D14" s="495"/>
      <c r="E14" s="495"/>
      <c r="F14" s="495"/>
      <c r="G14" s="495"/>
      <c r="H14" s="495"/>
      <c r="I14" s="495"/>
      <c r="J14" s="22"/>
      <c r="K14" s="38"/>
      <c r="L14" s="11"/>
      <c r="M14" s="11"/>
      <c r="N14" s="11"/>
      <c r="O14" s="11"/>
      <c r="P14" s="11"/>
      <c r="Q14" s="11"/>
      <c r="R14" s="11"/>
      <c r="S14" s="11"/>
      <c r="T14" s="11"/>
    </row>
    <row r="15" spans="1:20">
      <c r="A15" s="60" t="s">
        <v>5</v>
      </c>
      <c r="B15" s="458" t="s">
        <v>103</v>
      </c>
      <c r="C15" s="459"/>
      <c r="D15" s="459"/>
      <c r="E15" s="459"/>
      <c r="F15" s="459"/>
      <c r="G15" s="459"/>
      <c r="H15" s="459"/>
      <c r="I15" s="459"/>
      <c r="J15" s="459"/>
      <c r="K15" s="473"/>
      <c r="L15" s="11"/>
      <c r="M15" s="11"/>
      <c r="N15" s="11"/>
      <c r="O15" s="11"/>
      <c r="P15" s="11"/>
      <c r="Q15" s="11"/>
      <c r="R15" s="11"/>
      <c r="S15" s="11"/>
      <c r="T15" s="11"/>
    </row>
    <row r="16" spans="1:20" s="91" customFormat="1">
      <c r="A16" s="137" t="s">
        <v>10</v>
      </c>
      <c r="B16" s="212" t="s">
        <v>178</v>
      </c>
      <c r="C16" s="247" t="s">
        <v>179</v>
      </c>
      <c r="D16" s="213" t="s">
        <v>47</v>
      </c>
      <c r="E16" s="54">
        <f>E12*1.5</f>
        <v>75.675000000000011</v>
      </c>
      <c r="F16" s="54"/>
      <c r="G16" s="54"/>
      <c r="H16" s="54"/>
      <c r="I16" s="54"/>
      <c r="J16" s="54"/>
      <c r="K16" s="54"/>
      <c r="L16" s="90"/>
      <c r="M16" s="90"/>
      <c r="N16" s="90"/>
      <c r="O16" s="90"/>
      <c r="P16" s="90"/>
      <c r="Q16" s="90"/>
      <c r="R16" s="90"/>
      <c r="S16" s="90"/>
      <c r="T16" s="90"/>
    </row>
    <row r="17" spans="1:20" s="91" customFormat="1">
      <c r="A17" s="137" t="s">
        <v>11</v>
      </c>
      <c r="B17" s="212" t="s">
        <v>493</v>
      </c>
      <c r="C17" s="247" t="s">
        <v>494</v>
      </c>
      <c r="D17" s="213" t="s">
        <v>29</v>
      </c>
      <c r="E17" s="54">
        <f>E12/3</f>
        <v>16.816666666666666</v>
      </c>
      <c r="F17" s="54"/>
      <c r="G17" s="54"/>
      <c r="H17" s="54"/>
      <c r="I17" s="54"/>
      <c r="J17" s="54"/>
      <c r="K17" s="54"/>
      <c r="L17" s="90"/>
      <c r="M17" s="90"/>
      <c r="N17" s="90"/>
      <c r="O17" s="90"/>
      <c r="P17" s="90"/>
      <c r="Q17" s="90"/>
      <c r="R17" s="90"/>
      <c r="S17" s="90"/>
      <c r="T17" s="90"/>
    </row>
    <row r="18" spans="1:20" s="91" customFormat="1">
      <c r="A18" s="137" t="s">
        <v>442</v>
      </c>
      <c r="B18" s="367" t="s">
        <v>826</v>
      </c>
      <c r="C18" s="247" t="s">
        <v>827</v>
      </c>
      <c r="D18" s="213" t="s">
        <v>47</v>
      </c>
      <c r="E18" s="54">
        <v>5.99</v>
      </c>
      <c r="F18" s="54"/>
      <c r="G18" s="54"/>
      <c r="H18" s="54"/>
      <c r="I18" s="54"/>
      <c r="J18" s="54"/>
      <c r="K18" s="54"/>
      <c r="L18" s="90"/>
      <c r="M18" s="90"/>
      <c r="N18" s="90"/>
      <c r="O18" s="90"/>
      <c r="P18" s="90"/>
      <c r="Q18" s="90"/>
      <c r="R18" s="90"/>
      <c r="S18" s="90"/>
      <c r="T18" s="90"/>
    </row>
    <row r="19" spans="1:20" s="91" customFormat="1">
      <c r="A19" s="137" t="s">
        <v>443</v>
      </c>
      <c r="B19" s="367" t="s">
        <v>828</v>
      </c>
      <c r="C19" s="247" t="s">
        <v>829</v>
      </c>
      <c r="D19" s="334" t="s">
        <v>29</v>
      </c>
      <c r="E19" s="54">
        <v>29.74</v>
      </c>
      <c r="F19" s="54"/>
      <c r="G19" s="54"/>
      <c r="H19" s="54"/>
      <c r="I19" s="54"/>
      <c r="J19" s="54"/>
      <c r="K19" s="54"/>
      <c r="L19" s="90"/>
      <c r="M19" s="90"/>
      <c r="N19" s="90"/>
      <c r="O19" s="90"/>
      <c r="P19" s="90"/>
      <c r="Q19" s="90"/>
      <c r="R19" s="90"/>
      <c r="S19" s="90"/>
      <c r="T19" s="90"/>
    </row>
    <row r="20" spans="1:20" s="91" customFormat="1" ht="24.75">
      <c r="A20" s="137" t="s">
        <v>444</v>
      </c>
      <c r="B20" s="367">
        <v>72915</v>
      </c>
      <c r="C20" s="247" t="s">
        <v>492</v>
      </c>
      <c r="D20" s="213" t="s">
        <v>47</v>
      </c>
      <c r="E20" s="54">
        <f>(0.6*0.6*0.6)+(1.9*1.1*1.4)+((3.14*((1.2/2)*(1.2/2)))*5)</f>
        <v>8.7940000000000005</v>
      </c>
      <c r="F20" s="54"/>
      <c r="G20" s="54"/>
      <c r="H20" s="54"/>
      <c r="I20" s="54"/>
      <c r="J20" s="54"/>
      <c r="K20" s="54"/>
      <c r="L20" s="90"/>
      <c r="M20" s="90"/>
      <c r="N20" s="90"/>
      <c r="O20" s="90"/>
      <c r="P20" s="90"/>
      <c r="Q20" s="90"/>
      <c r="R20" s="90"/>
      <c r="S20" s="90"/>
      <c r="T20" s="90"/>
    </row>
    <row r="21" spans="1:20" s="157" customFormat="1" ht="14.25">
      <c r="A21" s="137" t="s">
        <v>445</v>
      </c>
      <c r="B21" s="367">
        <v>6430</v>
      </c>
      <c r="C21" s="247" t="s">
        <v>341</v>
      </c>
      <c r="D21" s="213" t="s">
        <v>47</v>
      </c>
      <c r="E21" s="54">
        <v>6.66</v>
      </c>
      <c r="F21" s="54"/>
      <c r="G21" s="54"/>
      <c r="H21" s="54"/>
      <c r="I21" s="54"/>
      <c r="J21" s="54"/>
      <c r="K21" s="54"/>
      <c r="L21" s="90"/>
      <c r="M21" s="90"/>
      <c r="N21" s="90"/>
      <c r="O21" s="90"/>
      <c r="P21" s="90"/>
      <c r="Q21" s="90"/>
      <c r="R21" s="90"/>
      <c r="S21" s="90"/>
      <c r="T21" s="90"/>
    </row>
    <row r="22" spans="1:20">
      <c r="A22" s="562" t="s">
        <v>16</v>
      </c>
      <c r="B22" s="562"/>
      <c r="C22" s="563"/>
      <c r="D22" s="563"/>
      <c r="E22" s="563"/>
      <c r="F22" s="563"/>
      <c r="G22" s="563"/>
      <c r="H22" s="563"/>
      <c r="I22" s="563"/>
      <c r="J22" s="22"/>
      <c r="K22" s="39"/>
      <c r="L22" s="11"/>
      <c r="M22" s="11"/>
      <c r="N22" s="11"/>
      <c r="O22" s="11"/>
      <c r="P22" s="11"/>
      <c r="Q22" s="11"/>
      <c r="R22" s="11"/>
      <c r="S22" s="11"/>
      <c r="T22" s="11"/>
    </row>
    <row r="23" spans="1:20">
      <c r="A23" s="60" t="s">
        <v>105</v>
      </c>
      <c r="B23" s="458" t="s">
        <v>106</v>
      </c>
      <c r="C23" s="459"/>
      <c r="D23" s="459"/>
      <c r="E23" s="459"/>
      <c r="F23" s="459"/>
      <c r="G23" s="459"/>
      <c r="H23" s="459"/>
      <c r="I23" s="459"/>
      <c r="J23" s="459"/>
      <c r="K23" s="473"/>
      <c r="L23" s="11"/>
      <c r="M23" s="11"/>
      <c r="N23" s="11"/>
      <c r="O23" s="11"/>
      <c r="P23" s="11"/>
      <c r="Q23" s="11"/>
      <c r="R23" s="11"/>
      <c r="S23" s="11"/>
      <c r="T23" s="11"/>
    </row>
    <row r="24" spans="1:20" s="53" customFormat="1">
      <c r="A24" s="48" t="s">
        <v>12</v>
      </c>
      <c r="B24" s="48"/>
      <c r="C24" s="233" t="s">
        <v>283</v>
      </c>
      <c r="D24" s="171" t="s">
        <v>47</v>
      </c>
      <c r="E24" s="172">
        <v>2.8</v>
      </c>
      <c r="F24" s="172"/>
      <c r="G24" s="172"/>
      <c r="H24" s="172"/>
      <c r="I24" s="172"/>
      <c r="J24" s="172"/>
      <c r="K24" s="172"/>
      <c r="L24" s="11"/>
      <c r="M24" s="11"/>
      <c r="N24" s="11"/>
      <c r="O24" s="11"/>
      <c r="P24" s="11"/>
      <c r="Q24" s="11"/>
      <c r="R24" s="11"/>
      <c r="S24" s="11"/>
      <c r="T24" s="11"/>
    </row>
    <row r="25" spans="1:20" s="53" customFormat="1">
      <c r="A25" s="48" t="s">
        <v>13</v>
      </c>
      <c r="B25" s="48"/>
      <c r="C25" s="234" t="s">
        <v>284</v>
      </c>
      <c r="D25" s="173" t="s">
        <v>47</v>
      </c>
      <c r="E25" s="172">
        <v>2</v>
      </c>
      <c r="F25" s="172"/>
      <c r="G25" s="172"/>
      <c r="H25" s="172"/>
      <c r="I25" s="172"/>
      <c r="J25" s="172"/>
      <c r="K25" s="172"/>
      <c r="L25" s="11"/>
      <c r="M25" s="11"/>
      <c r="N25" s="11"/>
      <c r="O25" s="11"/>
      <c r="P25" s="11"/>
      <c r="Q25" s="11"/>
      <c r="R25" s="11"/>
      <c r="S25" s="11"/>
      <c r="T25" s="11"/>
    </row>
    <row r="26" spans="1:20" s="53" customFormat="1">
      <c r="A26" s="48" t="s">
        <v>285</v>
      </c>
      <c r="B26" s="48"/>
      <c r="C26" s="234" t="s">
        <v>287</v>
      </c>
      <c r="D26" s="173" t="s">
        <v>29</v>
      </c>
      <c r="E26" s="172">
        <v>31.3</v>
      </c>
      <c r="F26" s="172"/>
      <c r="G26" s="172"/>
      <c r="H26" s="172"/>
      <c r="I26" s="172"/>
      <c r="J26" s="172"/>
      <c r="K26" s="172"/>
      <c r="L26" s="11"/>
      <c r="M26" s="11"/>
      <c r="N26" s="11"/>
      <c r="O26" s="11"/>
      <c r="P26" s="11"/>
      <c r="Q26" s="11"/>
      <c r="R26" s="11"/>
      <c r="S26" s="11"/>
      <c r="T26" s="11"/>
    </row>
    <row r="27" spans="1:20" s="53" customFormat="1">
      <c r="A27" s="48" t="s">
        <v>286</v>
      </c>
      <c r="B27" s="48"/>
      <c r="C27" s="234" t="s">
        <v>289</v>
      </c>
      <c r="D27" s="173" t="s">
        <v>47</v>
      </c>
      <c r="E27" s="172">
        <f>E13*0.07</f>
        <v>2.0817999999999999</v>
      </c>
      <c r="F27" s="172"/>
      <c r="G27" s="172"/>
      <c r="H27" s="172"/>
      <c r="I27" s="172"/>
      <c r="J27" s="174"/>
      <c r="K27" s="172"/>
      <c r="L27" s="11"/>
      <c r="M27" s="11"/>
      <c r="N27" s="11"/>
      <c r="O27" s="11"/>
      <c r="P27" s="11"/>
      <c r="Q27" s="11"/>
      <c r="R27" s="11"/>
      <c r="S27" s="11"/>
      <c r="T27" s="11"/>
    </row>
    <row r="28" spans="1:20" s="53" customFormat="1">
      <c r="A28" s="48" t="s">
        <v>288</v>
      </c>
      <c r="B28" s="125" t="s">
        <v>904</v>
      </c>
      <c r="C28" s="234" t="s">
        <v>871</v>
      </c>
      <c r="D28" s="173" t="s">
        <v>47</v>
      </c>
      <c r="E28" s="172">
        <v>2.8</v>
      </c>
      <c r="F28" s="172"/>
      <c r="G28" s="172"/>
      <c r="H28" s="172"/>
      <c r="I28" s="172"/>
      <c r="J28" s="172"/>
      <c r="K28" s="172"/>
      <c r="L28" s="11"/>
      <c r="M28" s="11"/>
      <c r="N28" s="11"/>
      <c r="O28" s="11"/>
      <c r="P28" s="11"/>
      <c r="Q28" s="11"/>
      <c r="R28" s="11"/>
      <c r="S28" s="11"/>
      <c r="T28" s="11"/>
    </row>
    <row r="29" spans="1:20" s="53" customFormat="1">
      <c r="A29" s="48" t="s">
        <v>450</v>
      </c>
      <c r="B29" s="125" t="s">
        <v>905</v>
      </c>
      <c r="C29" s="234" t="s">
        <v>872</v>
      </c>
      <c r="D29" s="173" t="s">
        <v>47</v>
      </c>
      <c r="E29" s="172">
        <v>2.8</v>
      </c>
      <c r="F29" s="172"/>
      <c r="G29" s="172"/>
      <c r="H29" s="172"/>
      <c r="I29" s="172"/>
      <c r="J29" s="172"/>
      <c r="K29" s="172"/>
      <c r="L29" s="11"/>
      <c r="M29" s="11"/>
      <c r="N29" s="11"/>
      <c r="O29" s="11"/>
      <c r="P29" s="11"/>
      <c r="Q29" s="11"/>
      <c r="R29" s="11"/>
      <c r="S29" s="11"/>
      <c r="T29" s="11"/>
    </row>
    <row r="30" spans="1:20" s="53" customFormat="1">
      <c r="A30" s="48" t="s">
        <v>451</v>
      </c>
      <c r="B30" s="125"/>
      <c r="C30" s="234" t="s">
        <v>873</v>
      </c>
      <c r="D30" s="173" t="s">
        <v>47</v>
      </c>
      <c r="E30" s="172">
        <v>0.46</v>
      </c>
      <c r="F30" s="172"/>
      <c r="G30" s="172"/>
      <c r="H30" s="172"/>
      <c r="I30" s="172"/>
      <c r="J30" s="172"/>
      <c r="K30" s="172"/>
      <c r="L30" s="11"/>
      <c r="M30" s="11"/>
      <c r="N30" s="11"/>
      <c r="O30" s="11"/>
      <c r="P30" s="11"/>
      <c r="Q30" s="11"/>
      <c r="R30" s="11"/>
      <c r="S30" s="11"/>
      <c r="T30" s="11"/>
    </row>
    <row r="31" spans="1:20" s="53" customFormat="1">
      <c r="A31" s="48" t="s">
        <v>452</v>
      </c>
      <c r="B31" s="125"/>
      <c r="C31" s="234" t="s">
        <v>874</v>
      </c>
      <c r="D31" s="173" t="s">
        <v>47</v>
      </c>
      <c r="E31" s="172">
        <v>2.97</v>
      </c>
      <c r="F31" s="172"/>
      <c r="G31" s="172"/>
      <c r="H31" s="172"/>
      <c r="I31" s="172"/>
      <c r="J31" s="172"/>
      <c r="K31" s="172"/>
      <c r="L31" s="11"/>
      <c r="M31" s="11"/>
      <c r="N31" s="11"/>
      <c r="O31" s="11"/>
      <c r="P31" s="11"/>
      <c r="Q31" s="11"/>
      <c r="R31" s="11"/>
      <c r="S31" s="11"/>
      <c r="T31" s="11"/>
    </row>
    <row r="32" spans="1:20" s="53" customFormat="1">
      <c r="A32" s="48" t="s">
        <v>453</v>
      </c>
      <c r="B32" s="125" t="s">
        <v>905</v>
      </c>
      <c r="C32" s="234" t="s">
        <v>875</v>
      </c>
      <c r="D32" s="173" t="s">
        <v>47</v>
      </c>
      <c r="E32" s="172">
        <v>2.97</v>
      </c>
      <c r="F32" s="172"/>
      <c r="G32" s="172"/>
      <c r="H32" s="172"/>
      <c r="I32" s="172"/>
      <c r="J32" s="172"/>
      <c r="K32" s="172"/>
      <c r="L32" s="11"/>
      <c r="M32" s="11"/>
      <c r="N32" s="11"/>
      <c r="O32" s="11"/>
      <c r="P32" s="11"/>
      <c r="Q32" s="11"/>
      <c r="R32" s="11"/>
      <c r="S32" s="11"/>
      <c r="T32" s="11"/>
    </row>
    <row r="33" spans="1:22" s="53" customFormat="1">
      <c r="A33" s="48" t="s">
        <v>555</v>
      </c>
      <c r="B33" s="125"/>
      <c r="C33" s="234" t="s">
        <v>876</v>
      </c>
      <c r="D33" s="173" t="s">
        <v>29</v>
      </c>
      <c r="E33" s="172">
        <v>8.6</v>
      </c>
      <c r="F33" s="172"/>
      <c r="G33" s="172"/>
      <c r="H33" s="172"/>
      <c r="I33" s="172"/>
      <c r="J33" s="172"/>
      <c r="K33" s="172"/>
      <c r="L33" s="11"/>
      <c r="M33" s="11"/>
      <c r="N33" s="11"/>
      <c r="O33" s="11"/>
      <c r="P33" s="11"/>
      <c r="Q33" s="11"/>
      <c r="R33" s="11"/>
      <c r="S33" s="11"/>
      <c r="T33" s="11"/>
    </row>
    <row r="34" spans="1:22" s="53" customFormat="1" ht="24">
      <c r="A34" s="48" t="s">
        <v>556</v>
      </c>
      <c r="B34" s="415" t="s">
        <v>907</v>
      </c>
      <c r="C34" s="416" t="s">
        <v>877</v>
      </c>
      <c r="D34" s="173" t="s">
        <v>890</v>
      </c>
      <c r="E34" s="172">
        <v>90.5</v>
      </c>
      <c r="F34" s="172"/>
      <c r="G34" s="172"/>
      <c r="H34" s="172"/>
      <c r="I34" s="172"/>
      <c r="J34" s="172"/>
      <c r="K34" s="172"/>
      <c r="L34" s="11"/>
      <c r="M34" s="11"/>
      <c r="N34" s="11"/>
      <c r="O34" s="11"/>
      <c r="P34" s="11"/>
      <c r="Q34" s="11"/>
      <c r="R34" s="11"/>
      <c r="S34" s="11"/>
      <c r="T34" s="11"/>
    </row>
    <row r="35" spans="1:22">
      <c r="A35" s="479" t="s">
        <v>17</v>
      </c>
      <c r="B35" s="480"/>
      <c r="C35" s="480"/>
      <c r="D35" s="480"/>
      <c r="E35" s="480"/>
      <c r="F35" s="480"/>
      <c r="G35" s="480"/>
      <c r="H35" s="480"/>
      <c r="I35" s="481"/>
      <c r="J35" s="22"/>
      <c r="K35" s="22"/>
      <c r="L35" s="77"/>
      <c r="M35" s="11"/>
      <c r="N35" s="11"/>
      <c r="O35" s="11"/>
      <c r="P35" s="11"/>
      <c r="Q35" s="11"/>
      <c r="R35" s="11"/>
      <c r="S35" s="11"/>
      <c r="T35" s="11"/>
    </row>
    <row r="36" spans="1:22" s="74" customFormat="1">
      <c r="A36" s="70" t="s">
        <v>33</v>
      </c>
      <c r="B36" s="477" t="s">
        <v>107</v>
      </c>
      <c r="C36" s="478"/>
      <c r="D36" s="478"/>
      <c r="E36" s="478"/>
      <c r="F36" s="478"/>
      <c r="G36" s="478"/>
      <c r="H36" s="478"/>
      <c r="I36" s="478"/>
      <c r="J36" s="478"/>
      <c r="K36" s="478"/>
      <c r="L36" s="78"/>
      <c r="M36" s="73"/>
      <c r="N36" s="73"/>
      <c r="O36" s="73"/>
      <c r="P36" s="73"/>
      <c r="Q36" s="73"/>
      <c r="R36" s="73"/>
      <c r="S36" s="73"/>
      <c r="T36" s="73"/>
      <c r="U36" s="73"/>
      <c r="V36" s="73"/>
    </row>
    <row r="37" spans="1:22" s="419" customFormat="1">
      <c r="A37" s="414" t="s">
        <v>34</v>
      </c>
      <c r="B37" s="333"/>
      <c r="C37" s="333" t="s">
        <v>844</v>
      </c>
      <c r="D37" s="334" t="s">
        <v>47</v>
      </c>
      <c r="E37" s="417">
        <v>0.16</v>
      </c>
      <c r="F37" s="408"/>
      <c r="G37" s="408"/>
      <c r="H37" s="408"/>
      <c r="I37" s="408"/>
      <c r="J37" s="408"/>
      <c r="K37" s="417"/>
      <c r="L37" s="411"/>
      <c r="M37" s="398"/>
      <c r="N37" s="398"/>
      <c r="O37" s="398"/>
      <c r="P37" s="398"/>
      <c r="Q37" s="398"/>
      <c r="R37" s="398"/>
      <c r="S37" s="398"/>
      <c r="T37" s="398"/>
      <c r="U37" s="398"/>
      <c r="V37" s="398"/>
    </row>
    <row r="38" spans="1:22" s="419" customFormat="1" ht="24.75">
      <c r="A38" s="414" t="s">
        <v>108</v>
      </c>
      <c r="B38" s="414"/>
      <c r="C38" s="418" t="s">
        <v>878</v>
      </c>
      <c r="D38" s="334" t="s">
        <v>29</v>
      </c>
      <c r="E38" s="417">
        <v>44</v>
      </c>
      <c r="F38" s="408"/>
      <c r="G38" s="408"/>
      <c r="H38" s="408"/>
      <c r="I38" s="408"/>
      <c r="J38" s="409"/>
      <c r="K38" s="410"/>
      <c r="L38" s="411"/>
      <c r="M38" s="398"/>
      <c r="N38" s="398"/>
      <c r="O38" s="398"/>
      <c r="P38" s="398"/>
      <c r="Q38" s="398"/>
      <c r="R38" s="398"/>
      <c r="S38" s="398"/>
      <c r="T38" s="398"/>
      <c r="U38" s="398"/>
      <c r="V38" s="398"/>
    </row>
    <row r="39" spans="1:22" s="419" customFormat="1" ht="24.75">
      <c r="A39" s="414" t="s">
        <v>35</v>
      </c>
      <c r="B39" s="414"/>
      <c r="C39" s="418" t="s">
        <v>879</v>
      </c>
      <c r="D39" s="334" t="s">
        <v>29</v>
      </c>
      <c r="E39" s="417">
        <v>66.3</v>
      </c>
      <c r="F39" s="408"/>
      <c r="G39" s="408"/>
      <c r="H39" s="408"/>
      <c r="I39" s="408"/>
      <c r="J39" s="409"/>
      <c r="K39" s="410"/>
      <c r="L39" s="411"/>
      <c r="M39" s="398"/>
      <c r="N39" s="398"/>
      <c r="O39" s="398"/>
      <c r="P39" s="398"/>
      <c r="Q39" s="398"/>
      <c r="R39" s="398"/>
      <c r="S39" s="398"/>
      <c r="T39" s="398"/>
      <c r="U39" s="398"/>
      <c r="V39" s="398"/>
    </row>
    <row r="40" spans="1:22" s="419" customFormat="1">
      <c r="A40" s="414" t="s">
        <v>36</v>
      </c>
      <c r="B40" s="86" t="s">
        <v>904</v>
      </c>
      <c r="C40" s="333" t="s">
        <v>880</v>
      </c>
      <c r="D40" s="334" t="s">
        <v>47</v>
      </c>
      <c r="E40" s="417">
        <v>4.2</v>
      </c>
      <c r="F40" s="408"/>
      <c r="G40" s="408"/>
      <c r="H40" s="408"/>
      <c r="I40" s="408"/>
      <c r="J40" s="409"/>
      <c r="K40" s="410"/>
      <c r="L40" s="411"/>
      <c r="M40" s="398"/>
      <c r="N40" s="398"/>
      <c r="O40" s="398"/>
      <c r="P40" s="398"/>
      <c r="Q40" s="398"/>
      <c r="R40" s="398"/>
      <c r="S40" s="398"/>
      <c r="T40" s="398"/>
      <c r="U40" s="398"/>
      <c r="V40" s="398"/>
    </row>
    <row r="41" spans="1:22" s="419" customFormat="1">
      <c r="A41" s="414" t="s">
        <v>37</v>
      </c>
      <c r="B41" s="414" t="s">
        <v>906</v>
      </c>
      <c r="C41" s="333" t="s">
        <v>881</v>
      </c>
      <c r="D41" s="334" t="s">
        <v>47</v>
      </c>
      <c r="E41" s="417">
        <v>4.2</v>
      </c>
      <c r="F41" s="408"/>
      <c r="G41" s="408"/>
      <c r="H41" s="408"/>
      <c r="I41" s="408"/>
      <c r="J41" s="409"/>
      <c r="K41" s="410"/>
      <c r="L41" s="411"/>
      <c r="M41" s="398"/>
      <c r="N41" s="398"/>
      <c r="O41" s="398"/>
      <c r="P41" s="398"/>
      <c r="Q41" s="398"/>
      <c r="R41" s="398"/>
      <c r="S41" s="398"/>
      <c r="T41" s="398"/>
      <c r="U41" s="398"/>
      <c r="V41" s="398"/>
    </row>
    <row r="42" spans="1:22" s="419" customFormat="1">
      <c r="A42" s="414" t="s">
        <v>454</v>
      </c>
      <c r="B42" s="86" t="s">
        <v>904</v>
      </c>
      <c r="C42" s="333" t="s">
        <v>882</v>
      </c>
      <c r="D42" s="334" t="s">
        <v>47</v>
      </c>
      <c r="E42" s="417">
        <v>2.4</v>
      </c>
      <c r="F42" s="408"/>
      <c r="G42" s="408"/>
      <c r="H42" s="408"/>
      <c r="I42" s="408"/>
      <c r="J42" s="409"/>
      <c r="K42" s="410"/>
      <c r="L42" s="411"/>
      <c r="M42" s="398"/>
      <c r="N42" s="398"/>
      <c r="O42" s="398"/>
      <c r="P42" s="398"/>
      <c r="Q42" s="398"/>
      <c r="R42" s="398"/>
      <c r="S42" s="398"/>
      <c r="T42" s="398"/>
      <c r="U42" s="398"/>
      <c r="V42" s="398"/>
    </row>
    <row r="43" spans="1:22" s="419" customFormat="1">
      <c r="A43" s="414" t="s">
        <v>455</v>
      </c>
      <c r="B43" s="414" t="s">
        <v>906</v>
      </c>
      <c r="C43" s="333" t="s">
        <v>883</v>
      </c>
      <c r="D43" s="334" t="s">
        <v>47</v>
      </c>
      <c r="E43" s="417">
        <v>2.4</v>
      </c>
      <c r="F43" s="408"/>
      <c r="G43" s="408"/>
      <c r="H43" s="408"/>
      <c r="I43" s="408"/>
      <c r="J43" s="409"/>
      <c r="K43" s="410"/>
      <c r="L43" s="411"/>
      <c r="M43" s="398"/>
      <c r="N43" s="398"/>
      <c r="O43" s="398"/>
      <c r="P43" s="398"/>
      <c r="Q43" s="398"/>
      <c r="R43" s="398"/>
      <c r="S43" s="398"/>
      <c r="T43" s="398"/>
      <c r="U43" s="398"/>
      <c r="V43" s="398"/>
    </row>
    <row r="44" spans="1:22" s="419" customFormat="1" ht="24">
      <c r="A44" s="414" t="s">
        <v>456</v>
      </c>
      <c r="B44" s="423" t="s">
        <v>907</v>
      </c>
      <c r="C44" s="333" t="s">
        <v>884</v>
      </c>
      <c r="D44" s="334" t="s">
        <v>890</v>
      </c>
      <c r="E44" s="417">
        <v>185.1</v>
      </c>
      <c r="F44" s="408"/>
      <c r="G44" s="408"/>
      <c r="H44" s="408"/>
      <c r="I44" s="408"/>
      <c r="J44" s="409"/>
      <c r="K44" s="410"/>
      <c r="L44" s="411"/>
      <c r="M44" s="398"/>
      <c r="N44" s="398"/>
      <c r="O44" s="398"/>
      <c r="P44" s="398"/>
      <c r="Q44" s="398"/>
      <c r="R44" s="398"/>
      <c r="S44" s="398"/>
      <c r="T44" s="398"/>
      <c r="U44" s="398"/>
      <c r="V44" s="398"/>
    </row>
    <row r="45" spans="1:22" s="419" customFormat="1">
      <c r="A45" s="414" t="s">
        <v>557</v>
      </c>
      <c r="B45" s="86" t="s">
        <v>832</v>
      </c>
      <c r="C45" s="333" t="s">
        <v>885</v>
      </c>
      <c r="D45" s="334" t="s">
        <v>890</v>
      </c>
      <c r="E45" s="417">
        <v>65.8</v>
      </c>
      <c r="F45" s="408"/>
      <c r="G45" s="408"/>
      <c r="H45" s="408"/>
      <c r="I45" s="408"/>
      <c r="J45" s="409"/>
      <c r="K45" s="410"/>
      <c r="L45" s="411"/>
      <c r="M45" s="398"/>
      <c r="N45" s="398"/>
      <c r="O45" s="398"/>
      <c r="P45" s="398"/>
      <c r="Q45" s="398"/>
      <c r="R45" s="398"/>
      <c r="S45" s="398"/>
      <c r="T45" s="398"/>
      <c r="U45" s="398"/>
      <c r="V45" s="398"/>
    </row>
    <row r="46" spans="1:22" s="419" customFormat="1" ht="24">
      <c r="A46" s="414" t="s">
        <v>558</v>
      </c>
      <c r="B46" s="423" t="s">
        <v>907</v>
      </c>
      <c r="C46" s="333" t="s">
        <v>886</v>
      </c>
      <c r="D46" s="334" t="s">
        <v>890</v>
      </c>
      <c r="E46" s="417">
        <v>125.3</v>
      </c>
      <c r="F46" s="408"/>
      <c r="G46" s="408"/>
      <c r="H46" s="408"/>
      <c r="I46" s="408"/>
      <c r="J46" s="409"/>
      <c r="K46" s="410"/>
      <c r="L46" s="411"/>
      <c r="M46" s="398"/>
      <c r="N46" s="398"/>
      <c r="O46" s="398"/>
      <c r="P46" s="398"/>
      <c r="Q46" s="398"/>
      <c r="R46" s="398"/>
      <c r="S46" s="398"/>
      <c r="T46" s="398"/>
      <c r="U46" s="398"/>
      <c r="V46" s="398"/>
    </row>
    <row r="47" spans="1:22" s="419" customFormat="1">
      <c r="A47" s="414" t="s">
        <v>893</v>
      </c>
      <c r="B47" s="86" t="s">
        <v>832</v>
      </c>
      <c r="C47" s="333" t="s">
        <v>887</v>
      </c>
      <c r="D47" s="334" t="s">
        <v>890</v>
      </c>
      <c r="E47" s="417">
        <v>68.400000000000006</v>
      </c>
      <c r="F47" s="408"/>
      <c r="G47" s="408"/>
      <c r="H47" s="408"/>
      <c r="I47" s="408"/>
      <c r="J47" s="409"/>
      <c r="K47" s="410"/>
      <c r="L47" s="411"/>
      <c r="M47" s="398"/>
      <c r="N47" s="398"/>
      <c r="O47" s="398"/>
      <c r="P47" s="398"/>
      <c r="Q47" s="398"/>
      <c r="R47" s="398"/>
      <c r="S47" s="398"/>
      <c r="T47" s="398"/>
      <c r="U47" s="398"/>
      <c r="V47" s="398"/>
    </row>
    <row r="48" spans="1:22" s="419" customFormat="1" ht="36.75">
      <c r="A48" s="414" t="s">
        <v>894</v>
      </c>
      <c r="B48" s="414"/>
      <c r="C48" s="418" t="s">
        <v>915</v>
      </c>
      <c r="D48" s="334" t="s">
        <v>29</v>
      </c>
      <c r="E48" s="417">
        <v>2.54</v>
      </c>
      <c r="F48" s="408"/>
      <c r="G48" s="408"/>
      <c r="H48" s="408"/>
      <c r="I48" s="408"/>
      <c r="J48" s="409"/>
      <c r="K48" s="410"/>
      <c r="L48" s="411"/>
      <c r="M48" s="398"/>
      <c r="N48" s="398"/>
      <c r="O48" s="398"/>
      <c r="P48" s="398"/>
      <c r="Q48" s="398"/>
      <c r="R48" s="398"/>
      <c r="S48" s="398"/>
      <c r="T48" s="398"/>
      <c r="U48" s="398"/>
      <c r="V48" s="398"/>
    </row>
    <row r="49" spans="1:22" s="419" customFormat="1">
      <c r="A49" s="414" t="s">
        <v>895</v>
      </c>
      <c r="B49" s="414"/>
      <c r="C49" s="333" t="s">
        <v>908</v>
      </c>
      <c r="D49" s="334" t="s">
        <v>27</v>
      </c>
      <c r="E49" s="417">
        <v>291</v>
      </c>
      <c r="F49" s="408"/>
      <c r="G49" s="408"/>
      <c r="H49" s="408"/>
      <c r="I49" s="408"/>
      <c r="J49" s="409"/>
      <c r="K49" s="410"/>
      <c r="L49" s="411"/>
      <c r="M49" s="398"/>
      <c r="N49" s="398"/>
      <c r="O49" s="398"/>
      <c r="P49" s="398"/>
      <c r="Q49" s="398"/>
      <c r="R49" s="398"/>
      <c r="S49" s="398"/>
      <c r="T49" s="398"/>
      <c r="U49" s="398"/>
      <c r="V49" s="398"/>
    </row>
    <row r="50" spans="1:22" s="419" customFormat="1">
      <c r="A50" s="414" t="s">
        <v>896</v>
      </c>
      <c r="B50" s="86" t="s">
        <v>904</v>
      </c>
      <c r="C50" s="333" t="s">
        <v>911</v>
      </c>
      <c r="D50" s="334" t="s">
        <v>47</v>
      </c>
      <c r="E50" s="417">
        <v>1.1000000000000001</v>
      </c>
      <c r="F50" s="408"/>
      <c r="G50" s="408"/>
      <c r="H50" s="408"/>
      <c r="I50" s="408"/>
      <c r="J50" s="409"/>
      <c r="K50" s="410"/>
      <c r="L50" s="411"/>
      <c r="M50" s="398"/>
      <c r="N50" s="398"/>
      <c r="O50" s="398"/>
      <c r="P50" s="398"/>
      <c r="Q50" s="398"/>
      <c r="R50" s="398"/>
      <c r="S50" s="398"/>
      <c r="T50" s="398"/>
      <c r="U50" s="398"/>
      <c r="V50" s="398"/>
    </row>
    <row r="51" spans="1:22" s="81" customFormat="1">
      <c r="A51" s="414" t="s">
        <v>897</v>
      </c>
      <c r="B51" s="414" t="s">
        <v>906</v>
      </c>
      <c r="C51" s="333" t="s">
        <v>888</v>
      </c>
      <c r="D51" s="334" t="s">
        <v>47</v>
      </c>
      <c r="E51" s="417">
        <v>1.1000000000000001</v>
      </c>
      <c r="F51" s="408"/>
      <c r="G51" s="408"/>
      <c r="H51" s="408"/>
      <c r="I51" s="408"/>
      <c r="J51" s="409"/>
      <c r="K51" s="410"/>
      <c r="L51" s="78"/>
      <c r="M51" s="73"/>
      <c r="N51" s="73"/>
      <c r="O51" s="73"/>
      <c r="P51" s="73"/>
      <c r="Q51" s="73"/>
      <c r="R51" s="73"/>
      <c r="S51" s="73"/>
      <c r="T51" s="73"/>
      <c r="U51" s="73"/>
      <c r="V51" s="73"/>
    </row>
    <row r="52" spans="1:22" s="74" customFormat="1">
      <c r="A52" s="496" t="s">
        <v>18</v>
      </c>
      <c r="B52" s="496"/>
      <c r="C52" s="497"/>
      <c r="D52" s="497"/>
      <c r="E52" s="497"/>
      <c r="F52" s="497"/>
      <c r="G52" s="497"/>
      <c r="H52" s="497"/>
      <c r="I52" s="497"/>
      <c r="J52" s="22"/>
      <c r="K52" s="22"/>
      <c r="L52" s="79"/>
      <c r="M52" s="73"/>
      <c r="N52" s="73"/>
      <c r="O52" s="73"/>
      <c r="P52" s="73"/>
      <c r="Q52" s="73"/>
      <c r="R52" s="73"/>
      <c r="S52" s="73"/>
      <c r="T52" s="73"/>
      <c r="U52" s="73"/>
      <c r="V52" s="73"/>
    </row>
    <row r="53" spans="1:22" s="81" customFormat="1">
      <c r="A53" s="80" t="s">
        <v>38</v>
      </c>
      <c r="B53" s="456" t="s">
        <v>180</v>
      </c>
      <c r="C53" s="457"/>
      <c r="D53" s="457"/>
      <c r="E53" s="457"/>
      <c r="F53" s="457"/>
      <c r="G53" s="457"/>
      <c r="H53" s="457"/>
      <c r="I53" s="457"/>
      <c r="J53" s="457"/>
      <c r="K53" s="485"/>
      <c r="L53" s="78"/>
      <c r="M53" s="73"/>
      <c r="N53" s="73"/>
      <c r="O53" s="73"/>
      <c r="P53" s="73"/>
      <c r="Q53" s="73"/>
      <c r="R53" s="73"/>
      <c r="S53" s="73"/>
      <c r="T53" s="73"/>
      <c r="U53" s="73"/>
      <c r="V53" s="73"/>
    </row>
    <row r="54" spans="1:22" s="53" customFormat="1" ht="24.75">
      <c r="A54" s="48" t="s">
        <v>39</v>
      </c>
      <c r="B54" s="195" t="s">
        <v>181</v>
      </c>
      <c r="C54" s="58" t="s">
        <v>182</v>
      </c>
      <c r="D54" s="50" t="s">
        <v>29</v>
      </c>
      <c r="E54" s="47">
        <f>(2.85*2.5*2)+(0.83*10.8)</f>
        <v>23.213999999999999</v>
      </c>
      <c r="F54" s="47"/>
      <c r="G54" s="47"/>
      <c r="H54" s="47"/>
      <c r="I54" s="47"/>
      <c r="J54" s="47"/>
      <c r="K54" s="82"/>
      <c r="L54" s="77"/>
      <c r="M54" s="11"/>
      <c r="N54" s="11"/>
      <c r="O54" s="11"/>
      <c r="P54" s="11"/>
      <c r="Q54" s="11"/>
      <c r="R54" s="11"/>
      <c r="S54" s="11"/>
      <c r="T54" s="11"/>
    </row>
    <row r="55" spans="1:22" s="53" customFormat="1" ht="24.75">
      <c r="A55" s="48" t="s">
        <v>40</v>
      </c>
      <c r="B55" s="195" t="s">
        <v>183</v>
      </c>
      <c r="C55" s="58" t="s">
        <v>184</v>
      </c>
      <c r="D55" s="50" t="s">
        <v>29</v>
      </c>
      <c r="E55" s="47">
        <f>2.85*21.6</f>
        <v>61.560000000000009</v>
      </c>
      <c r="F55" s="47"/>
      <c r="G55" s="47"/>
      <c r="H55" s="47"/>
      <c r="I55" s="47"/>
      <c r="J55" s="47"/>
      <c r="K55" s="47"/>
      <c r="L55" s="11"/>
      <c r="M55" s="11"/>
      <c r="N55" s="11"/>
      <c r="O55" s="11"/>
      <c r="P55" s="11"/>
      <c r="Q55" s="11"/>
      <c r="R55" s="11"/>
      <c r="S55" s="11"/>
      <c r="T55" s="11"/>
    </row>
    <row r="56" spans="1:22" s="53" customFormat="1" ht="24.95" customHeight="1">
      <c r="A56" s="48" t="s">
        <v>41</v>
      </c>
      <c r="B56" s="195" t="s">
        <v>185</v>
      </c>
      <c r="C56" s="58" t="s">
        <v>186</v>
      </c>
      <c r="D56" s="50" t="s">
        <v>47</v>
      </c>
      <c r="E56" s="47">
        <f>(0.2*0.1)*(2.1+2.4+1.1+1.1)</f>
        <v>0.13400000000000001</v>
      </c>
      <c r="F56" s="47"/>
      <c r="G56" s="47"/>
      <c r="H56" s="47"/>
      <c r="I56" s="47"/>
      <c r="J56" s="47"/>
      <c r="K56" s="47"/>
      <c r="L56" s="11"/>
      <c r="M56" s="11"/>
      <c r="N56" s="11"/>
      <c r="O56" s="11"/>
      <c r="P56" s="11"/>
      <c r="Q56" s="11"/>
      <c r="R56" s="11"/>
      <c r="S56" s="11"/>
      <c r="T56" s="11"/>
    </row>
    <row r="57" spans="1:22" s="74" customFormat="1">
      <c r="A57" s="496" t="s">
        <v>73</v>
      </c>
      <c r="B57" s="496"/>
      <c r="C57" s="497"/>
      <c r="D57" s="497"/>
      <c r="E57" s="497"/>
      <c r="F57" s="497"/>
      <c r="G57" s="497"/>
      <c r="H57" s="497"/>
      <c r="I57" s="497"/>
      <c r="J57" s="22"/>
      <c r="K57" s="22"/>
      <c r="L57" s="79"/>
      <c r="M57" s="73"/>
      <c r="N57" s="73"/>
      <c r="O57" s="73"/>
      <c r="P57" s="73"/>
      <c r="Q57" s="73"/>
      <c r="R57" s="73"/>
      <c r="S57" s="73"/>
      <c r="T57" s="73"/>
      <c r="U57" s="73"/>
      <c r="V57" s="73"/>
    </row>
    <row r="58" spans="1:22" s="53" customFormat="1" ht="15.75" customHeight="1">
      <c r="A58" s="60" t="s">
        <v>68</v>
      </c>
      <c r="B58" s="458" t="s">
        <v>104</v>
      </c>
      <c r="C58" s="459"/>
      <c r="D58" s="459"/>
      <c r="E58" s="459"/>
      <c r="F58" s="459"/>
      <c r="G58" s="459"/>
      <c r="H58" s="459"/>
      <c r="I58" s="459"/>
      <c r="J58" s="459"/>
      <c r="K58" s="473"/>
      <c r="L58" s="77"/>
      <c r="M58" s="11"/>
      <c r="N58" s="11"/>
      <c r="O58" s="11"/>
      <c r="P58" s="11"/>
      <c r="Q58" s="11"/>
      <c r="R58" s="11"/>
      <c r="S58" s="11"/>
      <c r="T58" s="11"/>
    </row>
    <row r="59" spans="1:22" s="53" customFormat="1" ht="24.75">
      <c r="A59" s="198" t="s">
        <v>69</v>
      </c>
      <c r="B59" s="195" t="s">
        <v>264</v>
      </c>
      <c r="C59" s="58" t="s">
        <v>532</v>
      </c>
      <c r="D59" s="50" t="s">
        <v>27</v>
      </c>
      <c r="E59" s="289">
        <v>1</v>
      </c>
      <c r="F59" s="54"/>
      <c r="G59" s="54"/>
      <c r="H59" s="54"/>
      <c r="I59" s="54"/>
      <c r="J59" s="54"/>
      <c r="K59" s="47"/>
      <c r="L59" s="11"/>
      <c r="M59" s="11"/>
      <c r="N59" s="11"/>
      <c r="O59" s="11"/>
      <c r="P59" s="11"/>
      <c r="Q59" s="11"/>
      <c r="R59" s="11"/>
      <c r="S59" s="11"/>
      <c r="T59" s="11"/>
    </row>
    <row r="60" spans="1:22" s="53" customFormat="1">
      <c r="A60" s="198" t="s">
        <v>70</v>
      </c>
      <c r="B60" s="182" t="s">
        <v>535</v>
      </c>
      <c r="C60" s="164" t="s">
        <v>536</v>
      </c>
      <c r="D60" s="165" t="s">
        <v>27</v>
      </c>
      <c r="E60" s="54">
        <v>1</v>
      </c>
      <c r="F60" s="54"/>
      <c r="G60" s="54"/>
      <c r="H60" s="54"/>
      <c r="I60" s="54"/>
      <c r="J60" s="54"/>
      <c r="K60" s="47"/>
      <c r="L60" s="11"/>
      <c r="M60" s="11"/>
      <c r="N60" s="11"/>
      <c r="O60" s="11"/>
      <c r="P60" s="11"/>
      <c r="Q60" s="11"/>
      <c r="R60" s="11"/>
      <c r="S60" s="11"/>
      <c r="T60" s="11"/>
    </row>
    <row r="61" spans="1:22" s="53" customFormat="1" ht="24.75">
      <c r="A61" s="198" t="s">
        <v>71</v>
      </c>
      <c r="B61" s="195" t="s">
        <v>195</v>
      </c>
      <c r="C61" s="58" t="s">
        <v>196</v>
      </c>
      <c r="D61" s="50" t="s">
        <v>27</v>
      </c>
      <c r="E61" s="54">
        <v>1</v>
      </c>
      <c r="F61" s="54"/>
      <c r="G61" s="54"/>
      <c r="H61" s="54"/>
      <c r="I61" s="54"/>
      <c r="J61" s="54"/>
      <c r="K61" s="47"/>
      <c r="L61" s="11"/>
      <c r="M61" s="11"/>
      <c r="N61" s="11"/>
      <c r="O61" s="11"/>
      <c r="P61" s="11"/>
      <c r="Q61" s="11"/>
      <c r="R61" s="11"/>
      <c r="S61" s="11"/>
      <c r="T61" s="11"/>
    </row>
    <row r="62" spans="1:22" s="53" customFormat="1" ht="24.75">
      <c r="A62" s="198" t="s">
        <v>72</v>
      </c>
      <c r="B62" s="195" t="s">
        <v>264</v>
      </c>
      <c r="C62" s="58" t="s">
        <v>265</v>
      </c>
      <c r="D62" s="50" t="s">
        <v>27</v>
      </c>
      <c r="E62" s="54">
        <v>1</v>
      </c>
      <c r="F62" s="54"/>
      <c r="G62" s="54"/>
      <c r="H62" s="54"/>
      <c r="I62" s="54"/>
      <c r="J62" s="54"/>
      <c r="K62" s="47"/>
      <c r="L62" s="11"/>
      <c r="M62" s="11"/>
      <c r="N62" s="11"/>
      <c r="O62" s="11"/>
      <c r="P62" s="11"/>
      <c r="Q62" s="11"/>
      <c r="R62" s="11"/>
      <c r="S62" s="11"/>
      <c r="T62" s="11"/>
    </row>
    <row r="63" spans="1:22" s="53" customFormat="1" ht="24.75">
      <c r="A63" s="198" t="s">
        <v>74</v>
      </c>
      <c r="B63" s="195" t="s">
        <v>266</v>
      </c>
      <c r="C63" s="58" t="s">
        <v>267</v>
      </c>
      <c r="D63" s="50" t="s">
        <v>27</v>
      </c>
      <c r="E63" s="54">
        <v>2</v>
      </c>
      <c r="F63" s="54"/>
      <c r="G63" s="54"/>
      <c r="H63" s="54"/>
      <c r="I63" s="54"/>
      <c r="J63" s="54"/>
      <c r="K63" s="47"/>
      <c r="L63" s="11"/>
      <c r="M63" s="11"/>
      <c r="N63" s="11"/>
      <c r="O63" s="11"/>
      <c r="P63" s="11"/>
      <c r="Q63" s="11"/>
      <c r="R63" s="11"/>
      <c r="S63" s="11"/>
      <c r="T63" s="11"/>
    </row>
    <row r="64" spans="1:22" s="53" customFormat="1" ht="24.75">
      <c r="A64" s="198" t="s">
        <v>75</v>
      </c>
      <c r="B64" s="195" t="s">
        <v>199</v>
      </c>
      <c r="C64" s="58" t="s">
        <v>268</v>
      </c>
      <c r="D64" s="50" t="s">
        <v>27</v>
      </c>
      <c r="E64" s="47">
        <v>1</v>
      </c>
      <c r="F64" s="54"/>
      <c r="G64" s="54"/>
      <c r="H64" s="54"/>
      <c r="I64" s="54"/>
      <c r="J64" s="54"/>
      <c r="K64" s="47"/>
      <c r="L64" s="11"/>
      <c r="M64" s="11"/>
      <c r="N64" s="11"/>
      <c r="O64" s="11"/>
      <c r="P64" s="11"/>
      <c r="Q64" s="11"/>
      <c r="R64" s="11"/>
      <c r="S64" s="11"/>
      <c r="T64" s="11"/>
    </row>
    <row r="65" spans="1:22" s="53" customFormat="1">
      <c r="A65" s="198" t="s">
        <v>76</v>
      </c>
      <c r="B65" s="180" t="s">
        <v>247</v>
      </c>
      <c r="C65" s="58" t="s">
        <v>515</v>
      </c>
      <c r="D65" s="50" t="s">
        <v>27</v>
      </c>
      <c r="E65" s="47">
        <v>2</v>
      </c>
      <c r="F65" s="54"/>
      <c r="G65" s="54"/>
      <c r="H65" s="54"/>
      <c r="I65" s="54"/>
      <c r="J65" s="54"/>
      <c r="K65" s="47"/>
      <c r="L65" s="11"/>
      <c r="M65" s="11"/>
      <c r="N65" s="11"/>
      <c r="O65" s="11"/>
      <c r="P65" s="11"/>
      <c r="Q65" s="11"/>
      <c r="R65" s="11"/>
      <c r="S65" s="11"/>
      <c r="T65" s="11"/>
    </row>
    <row r="66" spans="1:22" s="53" customFormat="1" ht="15.75" customHeight="1">
      <c r="A66" s="479" t="s">
        <v>43</v>
      </c>
      <c r="B66" s="480"/>
      <c r="C66" s="480"/>
      <c r="D66" s="480"/>
      <c r="E66" s="480"/>
      <c r="F66" s="480"/>
      <c r="G66" s="480"/>
      <c r="H66" s="480"/>
      <c r="I66" s="481"/>
      <c r="J66" s="23"/>
      <c r="K66" s="23"/>
      <c r="L66" s="77"/>
      <c r="M66" s="11"/>
      <c r="N66" s="11"/>
      <c r="O66" s="11"/>
      <c r="P66" s="11"/>
      <c r="Q66" s="11"/>
      <c r="R66" s="11"/>
      <c r="S66" s="11"/>
      <c r="T66" s="11"/>
    </row>
    <row r="67" spans="1:22" s="74" customFormat="1">
      <c r="A67" s="70" t="s">
        <v>44</v>
      </c>
      <c r="B67" s="448" t="s">
        <v>109</v>
      </c>
      <c r="C67" s="449"/>
      <c r="D67" s="449"/>
      <c r="E67" s="449"/>
      <c r="F67" s="449"/>
      <c r="G67" s="449"/>
      <c r="H67" s="449"/>
      <c r="I67" s="449"/>
      <c r="J67" s="449"/>
      <c r="K67" s="449"/>
      <c r="L67" s="78"/>
      <c r="M67" s="73"/>
      <c r="N67" s="73"/>
      <c r="O67" s="73"/>
      <c r="P67" s="73"/>
      <c r="Q67" s="73"/>
      <c r="R67" s="73"/>
      <c r="S67" s="73"/>
      <c r="T67" s="73"/>
      <c r="U67" s="73"/>
      <c r="V67" s="73"/>
    </row>
    <row r="68" spans="1:22" s="81" customFormat="1" ht="24.75">
      <c r="A68" s="80" t="s">
        <v>82</v>
      </c>
      <c r="B68" s="197" t="s">
        <v>203</v>
      </c>
      <c r="C68" s="181" t="s">
        <v>204</v>
      </c>
      <c r="D68" s="92" t="s">
        <v>29</v>
      </c>
      <c r="E68" s="47">
        <v>24.7</v>
      </c>
      <c r="F68" s="47"/>
      <c r="G68" s="47"/>
      <c r="H68" s="47"/>
      <c r="I68" s="47"/>
      <c r="J68" s="82"/>
      <c r="K68" s="47"/>
      <c r="L68" s="78"/>
      <c r="M68" s="73"/>
      <c r="N68" s="73"/>
      <c r="O68" s="73"/>
      <c r="P68" s="73"/>
      <c r="Q68" s="73"/>
      <c r="R68" s="73"/>
      <c r="S68" s="73"/>
      <c r="T68" s="73"/>
      <c r="U68" s="73"/>
      <c r="V68" s="73"/>
    </row>
    <row r="69" spans="1:22" s="81" customFormat="1" ht="24.75">
      <c r="A69" s="80" t="s">
        <v>86</v>
      </c>
      <c r="B69" s="197" t="s">
        <v>205</v>
      </c>
      <c r="C69" s="181" t="s">
        <v>206</v>
      </c>
      <c r="D69" s="92" t="s">
        <v>29</v>
      </c>
      <c r="E69" s="47">
        <f>E68*1.005</f>
        <v>24.823499999999996</v>
      </c>
      <c r="F69" s="47"/>
      <c r="G69" s="47"/>
      <c r="H69" s="47"/>
      <c r="I69" s="47"/>
      <c r="J69" s="82"/>
      <c r="K69" s="47"/>
      <c r="L69" s="78"/>
      <c r="M69" s="73"/>
      <c r="N69" s="73"/>
      <c r="O69" s="73"/>
      <c r="P69" s="73"/>
      <c r="Q69" s="73"/>
      <c r="R69" s="73"/>
      <c r="S69" s="73"/>
      <c r="T69" s="73"/>
      <c r="U69" s="73"/>
      <c r="V69" s="73"/>
    </row>
    <row r="70" spans="1:22" s="81" customFormat="1">
      <c r="A70" s="80" t="s">
        <v>110</v>
      </c>
      <c r="B70" s="180">
        <v>72104</v>
      </c>
      <c r="C70" s="181" t="s">
        <v>520</v>
      </c>
      <c r="D70" s="182" t="s">
        <v>28</v>
      </c>
      <c r="E70" s="49">
        <f>(2*7.9)*1.005</f>
        <v>15.879</v>
      </c>
      <c r="F70" s="117"/>
      <c r="G70" s="117"/>
      <c r="H70" s="117"/>
      <c r="I70" s="117"/>
      <c r="J70" s="177"/>
      <c r="K70" s="47"/>
      <c r="L70" s="78"/>
      <c r="M70" s="73"/>
      <c r="N70" s="73"/>
      <c r="O70" s="73"/>
      <c r="P70" s="73"/>
      <c r="Q70" s="73"/>
      <c r="R70" s="73"/>
      <c r="S70" s="73"/>
      <c r="T70" s="73"/>
      <c r="U70" s="73"/>
      <c r="V70" s="73"/>
    </row>
    <row r="71" spans="1:22" s="81" customFormat="1">
      <c r="A71" s="80" t="s">
        <v>111</v>
      </c>
      <c r="B71" s="197">
        <v>72104</v>
      </c>
      <c r="C71" s="76" t="s">
        <v>208</v>
      </c>
      <c r="D71" s="92" t="s">
        <v>28</v>
      </c>
      <c r="E71" s="289">
        <v>2.6</v>
      </c>
      <c r="F71" s="47"/>
      <c r="G71" s="47"/>
      <c r="H71" s="47"/>
      <c r="I71" s="47"/>
      <c r="J71" s="82"/>
      <c r="K71" s="47"/>
      <c r="L71" s="78"/>
      <c r="M71" s="73"/>
      <c r="N71" s="73"/>
      <c r="O71" s="73"/>
      <c r="P71" s="73"/>
      <c r="Q71" s="73"/>
      <c r="R71" s="73"/>
      <c r="S71" s="73"/>
      <c r="T71" s="73"/>
      <c r="U71" s="73"/>
      <c r="V71" s="73"/>
    </row>
    <row r="72" spans="1:22" s="81" customFormat="1">
      <c r="A72" s="80" t="s">
        <v>463</v>
      </c>
      <c r="B72" s="197">
        <v>72106</v>
      </c>
      <c r="C72" s="76" t="s">
        <v>207</v>
      </c>
      <c r="D72" s="92" t="s">
        <v>28</v>
      </c>
      <c r="E72" s="47">
        <f>(2*7.9)*1.005</f>
        <v>15.879</v>
      </c>
      <c r="F72" s="47"/>
      <c r="G72" s="47"/>
      <c r="H72" s="47"/>
      <c r="I72" s="47"/>
      <c r="J72" s="82"/>
      <c r="K72" s="47"/>
      <c r="L72" s="78"/>
      <c r="M72" s="73"/>
      <c r="N72" s="73"/>
      <c r="O72" s="73"/>
      <c r="P72" s="73"/>
      <c r="Q72" s="73"/>
      <c r="R72" s="73"/>
      <c r="S72" s="73"/>
      <c r="T72" s="73"/>
      <c r="U72" s="73"/>
      <c r="V72" s="73"/>
    </row>
    <row r="73" spans="1:22" s="74" customFormat="1">
      <c r="A73" s="462" t="s">
        <v>45</v>
      </c>
      <c r="B73" s="463"/>
      <c r="C73" s="463"/>
      <c r="D73" s="463"/>
      <c r="E73" s="463"/>
      <c r="F73" s="463"/>
      <c r="G73" s="463"/>
      <c r="H73" s="463"/>
      <c r="I73" s="464"/>
      <c r="J73" s="23"/>
      <c r="K73" s="23"/>
      <c r="L73" s="79"/>
      <c r="M73" s="73"/>
      <c r="N73" s="73"/>
      <c r="O73" s="73"/>
      <c r="P73" s="73"/>
      <c r="Q73" s="73"/>
      <c r="R73" s="73"/>
      <c r="S73" s="73"/>
      <c r="T73" s="73"/>
      <c r="U73" s="73"/>
      <c r="V73" s="73"/>
    </row>
    <row r="74" spans="1:22" s="53" customFormat="1">
      <c r="A74" s="48" t="s">
        <v>83</v>
      </c>
      <c r="B74" s="474" t="s">
        <v>6</v>
      </c>
      <c r="C74" s="475"/>
      <c r="D74" s="475"/>
      <c r="E74" s="475"/>
      <c r="F74" s="475"/>
      <c r="G74" s="475"/>
      <c r="H74" s="475"/>
      <c r="I74" s="475"/>
      <c r="J74" s="475"/>
      <c r="K74" s="476"/>
      <c r="L74" s="77"/>
      <c r="M74" s="11"/>
      <c r="N74" s="11"/>
      <c r="O74" s="11"/>
      <c r="P74" s="11"/>
      <c r="Q74" s="11"/>
      <c r="R74" s="11"/>
      <c r="S74" s="11"/>
      <c r="T74" s="11"/>
    </row>
    <row r="75" spans="1:22" s="91" customFormat="1">
      <c r="A75" s="86" t="s">
        <v>343</v>
      </c>
      <c r="B75" s="359" t="s">
        <v>852</v>
      </c>
      <c r="C75" s="202" t="s">
        <v>31</v>
      </c>
      <c r="D75" s="201" t="s">
        <v>28</v>
      </c>
      <c r="E75" s="88">
        <v>57.34</v>
      </c>
      <c r="F75" s="202"/>
      <c r="G75" s="54"/>
      <c r="H75" s="202"/>
      <c r="I75" s="54"/>
      <c r="J75" s="54"/>
      <c r="K75" s="54"/>
      <c r="L75" s="90"/>
      <c r="M75" s="90"/>
      <c r="N75" s="90"/>
      <c r="O75" s="90"/>
      <c r="P75" s="90"/>
      <c r="Q75" s="90"/>
      <c r="R75" s="90"/>
      <c r="S75" s="90"/>
      <c r="T75" s="90"/>
    </row>
    <row r="76" spans="1:22" s="91" customFormat="1">
      <c r="A76" s="86" t="s">
        <v>344</v>
      </c>
      <c r="B76" s="137"/>
      <c r="C76" s="191" t="s">
        <v>48</v>
      </c>
      <c r="D76" s="173" t="s">
        <v>27</v>
      </c>
      <c r="E76" s="47">
        <v>1</v>
      </c>
      <c r="F76" s="47"/>
      <c r="G76" s="47"/>
      <c r="H76" s="47"/>
      <c r="I76" s="47"/>
      <c r="J76" s="47"/>
      <c r="K76" s="54"/>
      <c r="L76" s="90"/>
      <c r="M76" s="90"/>
      <c r="N76" s="90"/>
      <c r="O76" s="90"/>
      <c r="P76" s="90"/>
      <c r="Q76" s="90"/>
      <c r="R76" s="90"/>
      <c r="S76" s="90"/>
      <c r="T76" s="90"/>
    </row>
    <row r="77" spans="1:22" s="91" customFormat="1">
      <c r="A77" s="86" t="s">
        <v>345</v>
      </c>
      <c r="B77" s="137"/>
      <c r="C77" s="184" t="s">
        <v>100</v>
      </c>
      <c r="D77" s="173" t="s">
        <v>27</v>
      </c>
      <c r="E77" s="256">
        <v>4</v>
      </c>
      <c r="F77" s="47"/>
      <c r="G77" s="47"/>
      <c r="H77" s="185"/>
      <c r="I77" s="47"/>
      <c r="J77" s="47"/>
      <c r="K77" s="54"/>
      <c r="L77" s="90"/>
      <c r="M77" s="90"/>
      <c r="N77" s="90"/>
      <c r="O77" s="90"/>
      <c r="P77" s="90"/>
      <c r="Q77" s="90"/>
      <c r="R77" s="90"/>
      <c r="S77" s="90"/>
      <c r="T77" s="90"/>
    </row>
    <row r="78" spans="1:22" s="91" customFormat="1">
      <c r="A78" s="86" t="s">
        <v>346</v>
      </c>
      <c r="B78" s="137"/>
      <c r="C78" s="191" t="s">
        <v>32</v>
      </c>
      <c r="D78" s="173" t="s">
        <v>28</v>
      </c>
      <c r="E78" s="47">
        <v>19.11</v>
      </c>
      <c r="F78" s="47"/>
      <c r="G78" s="47"/>
      <c r="H78" s="47"/>
      <c r="I78" s="47"/>
      <c r="J78" s="47"/>
      <c r="K78" s="54"/>
      <c r="L78" s="90"/>
      <c r="M78" s="90"/>
      <c r="N78" s="90"/>
      <c r="O78" s="90"/>
      <c r="P78" s="90"/>
      <c r="Q78" s="90"/>
      <c r="R78" s="90"/>
      <c r="S78" s="90"/>
      <c r="T78" s="90"/>
    </row>
    <row r="79" spans="1:22" s="91" customFormat="1">
      <c r="A79" s="86" t="s">
        <v>347</v>
      </c>
      <c r="B79" s="137"/>
      <c r="C79" s="191" t="s">
        <v>52</v>
      </c>
      <c r="D79" s="173" t="s">
        <v>27</v>
      </c>
      <c r="E79" s="47">
        <v>1</v>
      </c>
      <c r="F79" s="47"/>
      <c r="G79" s="47"/>
      <c r="H79" s="47"/>
      <c r="I79" s="47"/>
      <c r="J79" s="47"/>
      <c r="K79" s="54"/>
      <c r="L79" s="90"/>
      <c r="M79" s="90"/>
      <c r="N79" s="90"/>
      <c r="O79" s="90"/>
      <c r="P79" s="90"/>
      <c r="Q79" s="90"/>
      <c r="R79" s="90"/>
      <c r="S79" s="90"/>
      <c r="T79" s="90"/>
    </row>
    <row r="80" spans="1:22" s="91" customFormat="1">
      <c r="A80" s="86" t="s">
        <v>348</v>
      </c>
      <c r="B80" s="137"/>
      <c r="C80" s="186" t="s">
        <v>91</v>
      </c>
      <c r="D80" s="173" t="s">
        <v>27</v>
      </c>
      <c r="E80" s="47">
        <v>4</v>
      </c>
      <c r="F80" s="186"/>
      <c r="G80" s="47"/>
      <c r="H80" s="186"/>
      <c r="I80" s="47"/>
      <c r="J80" s="47"/>
      <c r="K80" s="54"/>
      <c r="L80" s="90"/>
      <c r="M80" s="90"/>
      <c r="N80" s="90"/>
      <c r="O80" s="90"/>
      <c r="P80" s="90"/>
      <c r="Q80" s="90"/>
      <c r="R80" s="90"/>
      <c r="S80" s="90"/>
      <c r="T80" s="90"/>
    </row>
    <row r="81" spans="1:20" s="91" customFormat="1">
      <c r="A81" s="86" t="s">
        <v>349</v>
      </c>
      <c r="B81" s="359" t="s">
        <v>852</v>
      </c>
      <c r="C81" s="186" t="s">
        <v>50</v>
      </c>
      <c r="D81" s="173" t="s">
        <v>27</v>
      </c>
      <c r="E81" s="47">
        <v>2</v>
      </c>
      <c r="F81" s="47"/>
      <c r="G81" s="47"/>
      <c r="H81" s="186"/>
      <c r="I81" s="47"/>
      <c r="J81" s="47"/>
      <c r="K81" s="54"/>
      <c r="L81" s="90"/>
      <c r="M81" s="90"/>
      <c r="N81" s="90"/>
      <c r="O81" s="90"/>
      <c r="P81" s="90"/>
      <c r="Q81" s="90"/>
      <c r="R81" s="90"/>
      <c r="S81" s="90"/>
      <c r="T81" s="90"/>
    </row>
    <row r="82" spans="1:20" s="91" customFormat="1">
      <c r="A82" s="86" t="s">
        <v>350</v>
      </c>
      <c r="B82" s="137"/>
      <c r="C82" s="186" t="s">
        <v>93</v>
      </c>
      <c r="D82" s="173" t="s">
        <v>27</v>
      </c>
      <c r="E82" s="47">
        <v>1</v>
      </c>
      <c r="F82" s="47"/>
      <c r="G82" s="47"/>
      <c r="H82" s="186"/>
      <c r="I82" s="47"/>
      <c r="J82" s="47"/>
      <c r="K82" s="54"/>
      <c r="L82" s="90"/>
      <c r="M82" s="90"/>
      <c r="N82" s="90"/>
      <c r="O82" s="90"/>
      <c r="P82" s="90"/>
      <c r="Q82" s="90"/>
      <c r="R82" s="90"/>
      <c r="S82" s="90"/>
      <c r="T82" s="90"/>
    </row>
    <row r="83" spans="1:20" s="91" customFormat="1">
      <c r="A83" s="86" t="s">
        <v>351</v>
      </c>
      <c r="B83" s="137"/>
      <c r="C83" s="186" t="s">
        <v>334</v>
      </c>
      <c r="D83" s="173" t="s">
        <v>27</v>
      </c>
      <c r="E83" s="47">
        <v>1</v>
      </c>
      <c r="F83" s="47"/>
      <c r="G83" s="47"/>
      <c r="H83" s="186"/>
      <c r="I83" s="47"/>
      <c r="J83" s="47"/>
      <c r="K83" s="54"/>
      <c r="L83" s="90"/>
      <c r="M83" s="90"/>
      <c r="N83" s="90"/>
      <c r="O83" s="90"/>
      <c r="P83" s="90"/>
      <c r="Q83" s="90"/>
      <c r="R83" s="90"/>
      <c r="S83" s="90"/>
      <c r="T83" s="90"/>
    </row>
    <row r="84" spans="1:20">
      <c r="A84" s="479" t="s">
        <v>84</v>
      </c>
      <c r="B84" s="480"/>
      <c r="C84" s="480"/>
      <c r="D84" s="480"/>
      <c r="E84" s="480"/>
      <c r="F84" s="480"/>
      <c r="G84" s="480"/>
      <c r="H84" s="480"/>
      <c r="I84" s="481"/>
      <c r="J84" s="23"/>
      <c r="K84" s="39"/>
      <c r="L84" s="11"/>
      <c r="M84" s="11"/>
      <c r="N84" s="11"/>
      <c r="O84" s="11"/>
      <c r="P84" s="11"/>
      <c r="Q84" s="11"/>
      <c r="R84" s="11"/>
      <c r="S84" s="11"/>
      <c r="T84" s="11"/>
    </row>
    <row r="85" spans="1:20" s="53" customFormat="1">
      <c r="A85" s="60" t="s">
        <v>46</v>
      </c>
      <c r="B85" s="486" t="s">
        <v>112</v>
      </c>
      <c r="C85" s="487"/>
      <c r="D85" s="487"/>
      <c r="E85" s="487"/>
      <c r="F85" s="487"/>
      <c r="G85" s="487"/>
      <c r="H85" s="487"/>
      <c r="I85" s="487"/>
      <c r="J85" s="487"/>
      <c r="K85" s="488"/>
      <c r="L85" s="11"/>
      <c r="M85" s="11"/>
      <c r="N85" s="11"/>
      <c r="O85" s="11"/>
      <c r="P85" s="11"/>
      <c r="Q85" s="11"/>
      <c r="R85" s="11"/>
      <c r="S85" s="11"/>
      <c r="T85" s="11"/>
    </row>
    <row r="86" spans="1:20" s="53" customFormat="1">
      <c r="A86" s="48" t="s">
        <v>352</v>
      </c>
      <c r="B86" s="48"/>
      <c r="C86" s="184" t="s">
        <v>94</v>
      </c>
      <c r="D86" s="205" t="s">
        <v>28</v>
      </c>
      <c r="E86" s="261">
        <v>30</v>
      </c>
      <c r="F86" s="47"/>
      <c r="G86" s="47"/>
      <c r="H86" s="47"/>
      <c r="I86" s="47"/>
      <c r="J86" s="47"/>
      <c r="K86" s="54"/>
      <c r="L86" s="11"/>
      <c r="M86" s="11"/>
      <c r="N86" s="11"/>
      <c r="O86" s="11"/>
      <c r="P86" s="11"/>
      <c r="Q86" s="11"/>
      <c r="R86" s="11"/>
      <c r="S86" s="11"/>
      <c r="T86" s="11"/>
    </row>
    <row r="87" spans="1:20" s="53" customFormat="1">
      <c r="A87" s="48" t="s">
        <v>353</v>
      </c>
      <c r="B87" s="48"/>
      <c r="C87" s="184" t="s">
        <v>95</v>
      </c>
      <c r="D87" s="173" t="s">
        <v>27</v>
      </c>
      <c r="E87" s="261">
        <v>1</v>
      </c>
      <c r="F87" s="185"/>
      <c r="G87" s="47"/>
      <c r="H87" s="185"/>
      <c r="I87" s="47"/>
      <c r="J87" s="47"/>
      <c r="K87" s="54"/>
      <c r="L87" s="11"/>
      <c r="M87" s="11"/>
      <c r="N87" s="11"/>
      <c r="O87" s="11"/>
      <c r="P87" s="11"/>
      <c r="Q87" s="11"/>
      <c r="R87" s="11"/>
      <c r="S87" s="11"/>
      <c r="T87" s="11"/>
    </row>
    <row r="88" spans="1:20" s="53" customFormat="1">
      <c r="A88" s="48" t="s">
        <v>354</v>
      </c>
      <c r="B88" s="48"/>
      <c r="C88" s="184" t="s">
        <v>99</v>
      </c>
      <c r="D88" s="173" t="s">
        <v>27</v>
      </c>
      <c r="E88" s="261">
        <v>1</v>
      </c>
      <c r="F88" s="185"/>
      <c r="G88" s="47"/>
      <c r="H88" s="185"/>
      <c r="I88" s="47"/>
      <c r="J88" s="47"/>
      <c r="K88" s="54"/>
      <c r="L88" s="11"/>
      <c r="M88" s="11"/>
      <c r="N88" s="11"/>
      <c r="O88" s="11"/>
      <c r="P88" s="11"/>
      <c r="Q88" s="11"/>
      <c r="R88" s="11"/>
      <c r="S88" s="11"/>
      <c r="T88" s="11"/>
    </row>
    <row r="89" spans="1:20" s="53" customFormat="1" ht="24.75">
      <c r="A89" s="48" t="s">
        <v>355</v>
      </c>
      <c r="B89" s="48"/>
      <c r="C89" s="206" t="s">
        <v>97</v>
      </c>
      <c r="D89" s="171" t="s">
        <v>27</v>
      </c>
      <c r="E89" s="261">
        <v>1</v>
      </c>
      <c r="F89" s="185"/>
      <c r="G89" s="257"/>
      <c r="H89" s="185"/>
      <c r="I89" s="257"/>
      <c r="J89" s="257"/>
      <c r="K89" s="54"/>
      <c r="L89" s="11"/>
      <c r="M89" s="11"/>
      <c r="N89" s="11"/>
      <c r="O89" s="11"/>
      <c r="P89" s="11"/>
      <c r="Q89" s="11"/>
      <c r="R89" s="11"/>
      <c r="S89" s="11"/>
      <c r="T89" s="11"/>
    </row>
    <row r="90" spans="1:20" s="53" customFormat="1">
      <c r="A90" s="48" t="s">
        <v>356</v>
      </c>
      <c r="B90" s="48"/>
      <c r="C90" s="184" t="s">
        <v>98</v>
      </c>
      <c r="D90" s="205" t="s">
        <v>28</v>
      </c>
      <c r="E90" s="261">
        <v>60.3</v>
      </c>
      <c r="F90" s="185"/>
      <c r="G90" s="47"/>
      <c r="H90" s="185"/>
      <c r="I90" s="47"/>
      <c r="J90" s="47"/>
      <c r="K90" s="54"/>
      <c r="L90" s="11"/>
      <c r="M90" s="11"/>
      <c r="N90" s="11"/>
      <c r="O90" s="11"/>
      <c r="P90" s="11"/>
      <c r="Q90" s="11"/>
      <c r="R90" s="11"/>
      <c r="S90" s="11"/>
      <c r="T90" s="11"/>
    </row>
    <row r="91" spans="1:20" s="53" customFormat="1">
      <c r="A91" s="48" t="s">
        <v>357</v>
      </c>
      <c r="B91" s="48"/>
      <c r="C91" s="243" t="s">
        <v>96</v>
      </c>
      <c r="D91" s="208" t="s">
        <v>28</v>
      </c>
      <c r="E91" s="262">
        <v>60.3</v>
      </c>
      <c r="F91" s="209"/>
      <c r="G91" s="47"/>
      <c r="H91" s="209"/>
      <c r="I91" s="47"/>
      <c r="J91" s="47"/>
      <c r="K91" s="54"/>
      <c r="L91" s="11"/>
      <c r="M91" s="11"/>
      <c r="N91" s="11"/>
      <c r="O91" s="11"/>
      <c r="P91" s="11"/>
      <c r="Q91" s="11"/>
      <c r="R91" s="11"/>
      <c r="S91" s="11"/>
      <c r="T91" s="11"/>
    </row>
    <row r="92" spans="1:20" s="53" customFormat="1">
      <c r="A92" s="48" t="s">
        <v>358</v>
      </c>
      <c r="B92" s="48"/>
      <c r="C92" s="191" t="s">
        <v>48</v>
      </c>
      <c r="D92" s="173" t="s">
        <v>27</v>
      </c>
      <c r="E92" s="172">
        <v>2</v>
      </c>
      <c r="F92" s="47"/>
      <c r="G92" s="47"/>
      <c r="H92" s="47"/>
      <c r="I92" s="47"/>
      <c r="J92" s="47"/>
      <c r="K92" s="54"/>
      <c r="L92" s="11"/>
      <c r="M92" s="11"/>
      <c r="N92" s="11"/>
      <c r="O92" s="11"/>
      <c r="P92" s="11"/>
      <c r="Q92" s="11"/>
      <c r="R92" s="11"/>
      <c r="S92" s="11"/>
      <c r="T92" s="11"/>
    </row>
    <row r="93" spans="1:20" s="53" customFormat="1">
      <c r="A93" s="482" t="s">
        <v>85</v>
      </c>
      <c r="B93" s="483"/>
      <c r="C93" s="483"/>
      <c r="D93" s="483"/>
      <c r="E93" s="483"/>
      <c r="F93" s="483"/>
      <c r="G93" s="483"/>
      <c r="H93" s="483"/>
      <c r="I93" s="484"/>
      <c r="J93" s="61"/>
      <c r="K93" s="61"/>
      <c r="L93" s="11"/>
      <c r="M93" s="11"/>
      <c r="N93" s="11"/>
      <c r="O93" s="11"/>
      <c r="P93" s="11"/>
      <c r="Q93" s="11"/>
      <c r="R93" s="11"/>
      <c r="S93" s="11"/>
      <c r="T93" s="11"/>
    </row>
    <row r="94" spans="1:20" s="53" customFormat="1">
      <c r="A94" s="60" t="s">
        <v>138</v>
      </c>
      <c r="B94" s="559" t="s">
        <v>54</v>
      </c>
      <c r="C94" s="560"/>
      <c r="D94" s="560"/>
      <c r="E94" s="560"/>
      <c r="F94" s="560"/>
      <c r="G94" s="560"/>
      <c r="H94" s="560"/>
      <c r="I94" s="560"/>
      <c r="J94" s="560"/>
      <c r="K94" s="561"/>
      <c r="L94" s="11"/>
      <c r="M94" s="11"/>
      <c r="N94" s="11"/>
      <c r="O94" s="11"/>
      <c r="P94" s="11"/>
      <c r="Q94" s="11"/>
      <c r="R94" s="11"/>
      <c r="S94" s="11"/>
      <c r="T94" s="11"/>
    </row>
    <row r="95" spans="1:20" s="53" customFormat="1">
      <c r="A95" s="48" t="s">
        <v>359</v>
      </c>
      <c r="B95" s="365" t="s">
        <v>747</v>
      </c>
      <c r="C95" s="186" t="s">
        <v>336</v>
      </c>
      <c r="D95" s="173" t="s">
        <v>28</v>
      </c>
      <c r="E95" s="47">
        <v>58.56</v>
      </c>
      <c r="F95" s="47"/>
      <c r="G95" s="47"/>
      <c r="H95" s="47"/>
      <c r="I95" s="47"/>
      <c r="J95" s="47"/>
      <c r="K95" s="54"/>
      <c r="L95" s="11"/>
      <c r="M95" s="11"/>
      <c r="N95" s="11"/>
      <c r="O95" s="11"/>
      <c r="P95" s="11"/>
      <c r="Q95" s="11"/>
      <c r="R95" s="11"/>
      <c r="S95" s="11"/>
      <c r="T95" s="11"/>
    </row>
    <row r="96" spans="1:20" s="53" customFormat="1">
      <c r="A96" s="48" t="s">
        <v>360</v>
      </c>
      <c r="B96" s="365" t="s">
        <v>857</v>
      </c>
      <c r="C96" s="186" t="s">
        <v>338</v>
      </c>
      <c r="D96" s="173" t="s">
        <v>28</v>
      </c>
      <c r="E96" s="47">
        <v>3.5</v>
      </c>
      <c r="F96" s="47"/>
      <c r="G96" s="47"/>
      <c r="H96" s="47"/>
      <c r="I96" s="47"/>
      <c r="J96" s="47"/>
      <c r="K96" s="54"/>
      <c r="L96" s="11"/>
      <c r="M96" s="11"/>
      <c r="N96" s="11"/>
      <c r="O96" s="11"/>
      <c r="P96" s="11"/>
      <c r="Q96" s="11"/>
      <c r="R96" s="11"/>
      <c r="S96" s="11"/>
      <c r="T96" s="11"/>
    </row>
    <row r="97" spans="1:20" s="53" customFormat="1">
      <c r="A97" s="48" t="s">
        <v>361</v>
      </c>
      <c r="B97" s="365" t="s">
        <v>859</v>
      </c>
      <c r="C97" s="186" t="s">
        <v>339</v>
      </c>
      <c r="D97" s="173" t="s">
        <v>28</v>
      </c>
      <c r="E97" s="47">
        <v>23.84</v>
      </c>
      <c r="F97" s="47"/>
      <c r="G97" s="47"/>
      <c r="H97" s="47"/>
      <c r="I97" s="47"/>
      <c r="J97" s="47"/>
      <c r="K97" s="54"/>
      <c r="L97" s="11"/>
      <c r="M97" s="11"/>
      <c r="N97" s="11"/>
      <c r="O97" s="11"/>
      <c r="P97" s="11"/>
      <c r="Q97" s="11"/>
      <c r="R97" s="11"/>
      <c r="S97" s="11"/>
      <c r="T97" s="11"/>
    </row>
    <row r="98" spans="1:20" s="53" customFormat="1">
      <c r="A98" s="48" t="s">
        <v>362</v>
      </c>
      <c r="B98" s="365" t="s">
        <v>862</v>
      </c>
      <c r="C98" s="186" t="s">
        <v>340</v>
      </c>
      <c r="D98" s="173" t="s">
        <v>28</v>
      </c>
      <c r="E98" s="47">
        <v>10.93</v>
      </c>
      <c r="F98" s="47"/>
      <c r="G98" s="47"/>
      <c r="H98" s="47"/>
      <c r="I98" s="47"/>
      <c r="J98" s="47"/>
      <c r="K98" s="54"/>
      <c r="L98" s="11"/>
      <c r="M98" s="11"/>
      <c r="N98" s="11"/>
      <c r="O98" s="11"/>
      <c r="P98" s="11"/>
      <c r="Q98" s="11"/>
      <c r="R98" s="11"/>
      <c r="S98" s="11"/>
      <c r="T98" s="11"/>
    </row>
    <row r="99" spans="1:20" s="53" customFormat="1">
      <c r="A99" s="48" t="s">
        <v>363</v>
      </c>
      <c r="B99" s="365">
        <v>72557</v>
      </c>
      <c r="C99" s="186" t="s">
        <v>55</v>
      </c>
      <c r="D99" s="173" t="s">
        <v>27</v>
      </c>
      <c r="E99" s="47">
        <v>5</v>
      </c>
      <c r="F99" s="47"/>
      <c r="G99" s="47"/>
      <c r="H99" s="47"/>
      <c r="I99" s="47"/>
      <c r="J99" s="47"/>
      <c r="K99" s="54"/>
      <c r="L99" s="11"/>
      <c r="M99" s="11"/>
      <c r="N99" s="11"/>
      <c r="O99" s="11"/>
      <c r="P99" s="11"/>
      <c r="Q99" s="11"/>
      <c r="R99" s="11"/>
      <c r="S99" s="11"/>
      <c r="T99" s="11"/>
    </row>
    <row r="100" spans="1:20" s="53" customFormat="1">
      <c r="A100" s="48" t="s">
        <v>364</v>
      </c>
      <c r="B100" s="369">
        <v>72560</v>
      </c>
      <c r="C100" s="186" t="s">
        <v>319</v>
      </c>
      <c r="D100" s="173" t="s">
        <v>27</v>
      </c>
      <c r="E100" s="47">
        <v>3</v>
      </c>
      <c r="F100" s="47"/>
      <c r="G100" s="47"/>
      <c r="H100" s="47"/>
      <c r="I100" s="47"/>
      <c r="J100" s="47"/>
      <c r="K100" s="54"/>
      <c r="L100" s="11"/>
      <c r="M100" s="11"/>
      <c r="N100" s="11"/>
      <c r="O100" s="11"/>
      <c r="P100" s="11"/>
      <c r="Q100" s="11"/>
      <c r="R100" s="11"/>
      <c r="S100" s="11"/>
      <c r="T100" s="11"/>
    </row>
    <row r="101" spans="1:20" s="53" customFormat="1">
      <c r="A101" s="48" t="s">
        <v>365</v>
      </c>
      <c r="B101" s="369">
        <v>72573</v>
      </c>
      <c r="C101" s="186" t="s">
        <v>290</v>
      </c>
      <c r="D101" s="173" t="s">
        <v>27</v>
      </c>
      <c r="E101" s="47">
        <v>6</v>
      </c>
      <c r="F101" s="47"/>
      <c r="G101" s="47"/>
      <c r="H101" s="47"/>
      <c r="I101" s="47"/>
      <c r="J101" s="47"/>
      <c r="K101" s="54"/>
      <c r="L101" s="11"/>
      <c r="M101" s="11"/>
      <c r="N101" s="11"/>
      <c r="O101" s="11"/>
      <c r="P101" s="11"/>
      <c r="Q101" s="11"/>
      <c r="R101" s="11"/>
      <c r="S101" s="11"/>
      <c r="T101" s="11"/>
    </row>
    <row r="102" spans="1:20" s="53" customFormat="1">
      <c r="A102" s="48" t="s">
        <v>366</v>
      </c>
      <c r="B102" s="369">
        <v>72580</v>
      </c>
      <c r="C102" s="186" t="s">
        <v>291</v>
      </c>
      <c r="D102" s="173" t="s">
        <v>27</v>
      </c>
      <c r="E102" s="47">
        <v>3</v>
      </c>
      <c r="F102" s="47"/>
      <c r="G102" s="47"/>
      <c r="H102" s="47"/>
      <c r="I102" s="47"/>
      <c r="J102" s="47"/>
      <c r="K102" s="54"/>
      <c r="L102" s="11"/>
      <c r="M102" s="11"/>
      <c r="N102" s="11"/>
      <c r="O102" s="11"/>
      <c r="P102" s="11"/>
      <c r="Q102" s="11"/>
      <c r="R102" s="11"/>
      <c r="S102" s="11"/>
      <c r="T102" s="11"/>
    </row>
    <row r="103" spans="1:20" s="53" customFormat="1">
      <c r="A103" s="48" t="s">
        <v>367</v>
      </c>
      <c r="B103" s="48"/>
      <c r="C103" s="186" t="s">
        <v>292</v>
      </c>
      <c r="D103" s="173" t="s">
        <v>27</v>
      </c>
      <c r="E103" s="47">
        <v>5</v>
      </c>
      <c r="F103" s="47"/>
      <c r="G103" s="47"/>
      <c r="H103" s="47"/>
      <c r="I103" s="47"/>
      <c r="J103" s="47"/>
      <c r="K103" s="54"/>
      <c r="L103" s="11"/>
      <c r="M103" s="11"/>
      <c r="N103" s="11"/>
      <c r="O103" s="11"/>
      <c r="P103" s="11"/>
      <c r="Q103" s="11"/>
      <c r="R103" s="11"/>
      <c r="S103" s="11"/>
      <c r="T103" s="11"/>
    </row>
    <row r="104" spans="1:20" s="53" customFormat="1">
      <c r="A104" s="48" t="s">
        <v>368</v>
      </c>
      <c r="B104" s="48"/>
      <c r="C104" s="186" t="s">
        <v>58</v>
      </c>
      <c r="D104" s="173" t="s">
        <v>27</v>
      </c>
      <c r="E104" s="47">
        <v>3</v>
      </c>
      <c r="F104" s="47"/>
      <c r="G104" s="47"/>
      <c r="H104" s="47"/>
      <c r="I104" s="47"/>
      <c r="J104" s="47"/>
      <c r="K104" s="54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1:20" s="53" customFormat="1">
      <c r="A105" s="48" t="s">
        <v>369</v>
      </c>
      <c r="B105" s="48"/>
      <c r="C105" s="186" t="s">
        <v>60</v>
      </c>
      <c r="D105" s="173" t="s">
        <v>27</v>
      </c>
      <c r="E105" s="47">
        <v>1</v>
      </c>
      <c r="F105" s="47"/>
      <c r="G105" s="47"/>
      <c r="H105" s="47"/>
      <c r="I105" s="47"/>
      <c r="J105" s="47"/>
      <c r="K105" s="54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1:20" s="53" customFormat="1">
      <c r="A106" s="48" t="s">
        <v>370</v>
      </c>
      <c r="B106" s="48"/>
      <c r="C106" s="186" t="s">
        <v>62</v>
      </c>
      <c r="D106" s="173" t="s">
        <v>27</v>
      </c>
      <c r="E106" s="47">
        <v>1</v>
      </c>
      <c r="F106" s="47"/>
      <c r="G106" s="47"/>
      <c r="H106" s="47"/>
      <c r="I106" s="47"/>
      <c r="J106" s="47"/>
      <c r="K106" s="54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1:20" s="53" customFormat="1">
      <c r="A107" s="48" t="s">
        <v>371</v>
      </c>
      <c r="B107" s="48"/>
      <c r="C107" s="191" t="s">
        <v>323</v>
      </c>
      <c r="D107" s="173" t="s">
        <v>27</v>
      </c>
      <c r="E107" s="47">
        <v>1</v>
      </c>
      <c r="F107" s="47"/>
      <c r="G107" s="47"/>
      <c r="H107" s="47"/>
      <c r="I107" s="47"/>
      <c r="J107" s="47"/>
      <c r="K107" s="54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1:20" s="53" customFormat="1">
      <c r="A108" s="48" t="s">
        <v>372</v>
      </c>
      <c r="B108" s="48"/>
      <c r="C108" s="191" t="s">
        <v>296</v>
      </c>
      <c r="D108" s="173" t="s">
        <v>27</v>
      </c>
      <c r="E108" s="47">
        <v>1</v>
      </c>
      <c r="F108" s="47"/>
      <c r="G108" s="47"/>
      <c r="H108" s="47"/>
      <c r="I108" s="47"/>
      <c r="J108" s="47"/>
      <c r="K108" s="54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1:20" s="53" customFormat="1">
      <c r="A109" s="48" t="s">
        <v>373</v>
      </c>
      <c r="B109" s="48"/>
      <c r="C109" s="186" t="s">
        <v>298</v>
      </c>
      <c r="D109" s="173" t="s">
        <v>27</v>
      </c>
      <c r="E109" s="47">
        <v>1</v>
      </c>
      <c r="F109" s="47"/>
      <c r="G109" s="47"/>
      <c r="H109" s="47"/>
      <c r="I109" s="47"/>
      <c r="J109" s="47"/>
      <c r="K109" s="54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 s="53" customFormat="1">
      <c r="A110" s="48" t="s">
        <v>374</v>
      </c>
      <c r="B110" s="48"/>
      <c r="C110" s="186" t="s">
        <v>63</v>
      </c>
      <c r="D110" s="173" t="s">
        <v>27</v>
      </c>
      <c r="E110" s="47">
        <v>1</v>
      </c>
      <c r="F110" s="47"/>
      <c r="G110" s="47"/>
      <c r="H110" s="47"/>
      <c r="I110" s="47"/>
      <c r="J110" s="47"/>
      <c r="K110" s="54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0" s="53" customFormat="1">
      <c r="A111" s="48" t="s">
        <v>375</v>
      </c>
      <c r="B111" s="48"/>
      <c r="C111" s="186" t="s">
        <v>302</v>
      </c>
      <c r="D111" s="173" t="s">
        <v>27</v>
      </c>
      <c r="E111" s="47">
        <v>1</v>
      </c>
      <c r="F111" s="47"/>
      <c r="G111" s="47"/>
      <c r="H111" s="47"/>
      <c r="I111" s="47"/>
      <c r="J111" s="47"/>
      <c r="K111" s="54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 s="53" customFormat="1">
      <c r="A112" s="48" t="s">
        <v>376</v>
      </c>
      <c r="B112" s="48"/>
      <c r="C112" s="186" t="s">
        <v>303</v>
      </c>
      <c r="D112" s="173" t="s">
        <v>27</v>
      </c>
      <c r="E112" s="47">
        <v>3</v>
      </c>
      <c r="F112" s="47"/>
      <c r="G112" s="47"/>
      <c r="H112" s="47"/>
      <c r="I112" s="47"/>
      <c r="J112" s="47"/>
      <c r="K112" s="54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2" s="53" customFormat="1">
      <c r="A113" s="48" t="s">
        <v>377</v>
      </c>
      <c r="B113" s="48"/>
      <c r="C113" s="186" t="s">
        <v>65</v>
      </c>
      <c r="D113" s="173" t="s">
        <v>27</v>
      </c>
      <c r="E113" s="47">
        <v>1</v>
      </c>
      <c r="F113" s="47"/>
      <c r="G113" s="47"/>
      <c r="H113" s="47"/>
      <c r="I113" s="47"/>
      <c r="J113" s="47"/>
      <c r="K113" s="54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2" s="53" customFormat="1">
      <c r="A114" s="48" t="s">
        <v>378</v>
      </c>
      <c r="B114" s="48"/>
      <c r="C114" s="186" t="s">
        <v>636</v>
      </c>
      <c r="D114" s="173" t="s">
        <v>27</v>
      </c>
      <c r="E114" s="47">
        <v>1</v>
      </c>
      <c r="F114" s="47"/>
      <c r="G114" s="47"/>
      <c r="H114" s="47"/>
      <c r="I114" s="47"/>
      <c r="J114" s="47"/>
      <c r="K114" s="54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2" s="53" customFormat="1">
      <c r="A115" s="48" t="s">
        <v>379</v>
      </c>
      <c r="B115" s="48"/>
      <c r="C115" s="186" t="s">
        <v>625</v>
      </c>
      <c r="D115" s="173" t="s">
        <v>27</v>
      </c>
      <c r="E115" s="47">
        <v>1</v>
      </c>
      <c r="F115" s="47"/>
      <c r="G115" s="47"/>
      <c r="H115" s="47"/>
      <c r="I115" s="47"/>
      <c r="J115" s="47"/>
      <c r="K115" s="54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2" s="53" customFormat="1">
      <c r="A116" s="48" t="s">
        <v>385</v>
      </c>
      <c r="B116" s="48"/>
      <c r="C116" s="186" t="s">
        <v>626</v>
      </c>
      <c r="D116" s="173" t="s">
        <v>27</v>
      </c>
      <c r="E116" s="47">
        <v>1</v>
      </c>
      <c r="F116" s="47"/>
      <c r="G116" s="47"/>
      <c r="H116" s="47"/>
      <c r="I116" s="47"/>
      <c r="J116" s="47"/>
      <c r="K116" s="54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2" s="53" customFormat="1">
      <c r="A117" s="48" t="s">
        <v>391</v>
      </c>
      <c r="B117" s="48"/>
      <c r="C117" s="186" t="s">
        <v>627</v>
      </c>
      <c r="D117" s="173" t="s">
        <v>27</v>
      </c>
      <c r="E117" s="47">
        <v>1</v>
      </c>
      <c r="F117" s="47"/>
      <c r="G117" s="47"/>
      <c r="H117" s="47"/>
      <c r="I117" s="47"/>
      <c r="J117" s="47"/>
      <c r="K117" s="54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2">
      <c r="A118" s="479" t="s">
        <v>139</v>
      </c>
      <c r="B118" s="480"/>
      <c r="C118" s="480"/>
      <c r="D118" s="480"/>
      <c r="E118" s="480"/>
      <c r="F118" s="480"/>
      <c r="G118" s="480"/>
      <c r="H118" s="480"/>
      <c r="I118" s="481"/>
      <c r="J118" s="23"/>
      <c r="K118" s="39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2" s="74" customFormat="1">
      <c r="A119" s="70" t="s">
        <v>113</v>
      </c>
      <c r="B119" s="477" t="s">
        <v>114</v>
      </c>
      <c r="C119" s="478"/>
      <c r="D119" s="478"/>
      <c r="E119" s="478"/>
      <c r="F119" s="478"/>
      <c r="G119" s="478"/>
      <c r="H119" s="478"/>
      <c r="I119" s="478"/>
      <c r="J119" s="478"/>
      <c r="K119" s="478"/>
      <c r="L119" s="78"/>
      <c r="M119" s="73"/>
      <c r="N119" s="73"/>
      <c r="O119" s="73"/>
      <c r="P119" s="73"/>
      <c r="Q119" s="73"/>
      <c r="R119" s="73"/>
      <c r="S119" s="73"/>
      <c r="T119" s="73"/>
      <c r="U119" s="73"/>
      <c r="V119" s="73"/>
    </row>
    <row r="120" spans="1:22" s="154" customFormat="1" ht="14.25">
      <c r="A120" s="124" t="s">
        <v>115</v>
      </c>
      <c r="B120" s="180">
        <v>72075</v>
      </c>
      <c r="C120" s="183" t="s">
        <v>342</v>
      </c>
      <c r="D120" s="182" t="s">
        <v>29</v>
      </c>
      <c r="E120" s="117">
        <f>E133+E136</f>
        <v>73.999600000000001</v>
      </c>
      <c r="F120" s="183"/>
      <c r="G120" s="47"/>
      <c r="H120" s="183"/>
      <c r="I120" s="47"/>
      <c r="J120" s="47"/>
      <c r="K120" s="47"/>
      <c r="L120" s="120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</row>
    <row r="121" spans="1:22" s="74" customFormat="1">
      <c r="A121" s="462" t="s">
        <v>117</v>
      </c>
      <c r="B121" s="463"/>
      <c r="C121" s="463"/>
      <c r="D121" s="463"/>
      <c r="E121" s="463"/>
      <c r="F121" s="463"/>
      <c r="G121" s="463"/>
      <c r="H121" s="463"/>
      <c r="I121" s="464"/>
      <c r="J121" s="23"/>
      <c r="K121" s="23"/>
      <c r="L121" s="79"/>
      <c r="M121" s="73"/>
      <c r="N121" s="73"/>
      <c r="O121" s="73"/>
      <c r="P121" s="73"/>
      <c r="Q121" s="73"/>
      <c r="R121" s="73"/>
      <c r="S121" s="73"/>
      <c r="T121" s="73"/>
      <c r="U121" s="73"/>
      <c r="V121" s="73"/>
    </row>
    <row r="122" spans="1:22">
      <c r="A122" s="60" t="s">
        <v>140</v>
      </c>
      <c r="B122" s="458" t="s">
        <v>118</v>
      </c>
      <c r="C122" s="459"/>
      <c r="D122" s="459"/>
      <c r="E122" s="459"/>
      <c r="F122" s="459"/>
      <c r="G122" s="459"/>
      <c r="H122" s="459"/>
      <c r="I122" s="459"/>
      <c r="J122" s="459"/>
      <c r="K122" s="473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1:22" s="53" customFormat="1">
      <c r="A123" s="96" t="s">
        <v>380</v>
      </c>
      <c r="B123" s="96"/>
      <c r="C123" s="140" t="s">
        <v>304</v>
      </c>
      <c r="D123" s="141" t="s">
        <v>27</v>
      </c>
      <c r="E123" s="47">
        <v>1</v>
      </c>
      <c r="F123" s="140"/>
      <c r="G123" s="140"/>
      <c r="H123" s="140"/>
      <c r="I123" s="140"/>
      <c r="J123" s="140"/>
      <c r="K123" s="21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1:22" s="53" customFormat="1">
      <c r="A124" s="96" t="s">
        <v>381</v>
      </c>
      <c r="B124" s="96"/>
      <c r="C124" s="140" t="s">
        <v>310</v>
      </c>
      <c r="D124" s="141" t="s">
        <v>27</v>
      </c>
      <c r="E124" s="47">
        <v>1</v>
      </c>
      <c r="F124" s="25"/>
      <c r="G124" s="140"/>
      <c r="H124" s="25"/>
      <c r="I124" s="140"/>
      <c r="J124" s="140"/>
      <c r="K124" s="21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2">
      <c r="A125" s="479" t="s">
        <v>141</v>
      </c>
      <c r="B125" s="480"/>
      <c r="C125" s="480"/>
      <c r="D125" s="480"/>
      <c r="E125" s="480"/>
      <c r="F125" s="480"/>
      <c r="G125" s="480"/>
      <c r="H125" s="480"/>
      <c r="I125" s="481"/>
      <c r="J125" s="23"/>
      <c r="K125" s="39"/>
    </row>
    <row r="126" spans="1:22">
      <c r="A126" s="60" t="s">
        <v>142</v>
      </c>
      <c r="B126" s="458" t="s">
        <v>7</v>
      </c>
      <c r="C126" s="459"/>
      <c r="D126" s="459"/>
      <c r="E126" s="459"/>
      <c r="F126" s="459"/>
      <c r="G126" s="459"/>
      <c r="H126" s="459"/>
      <c r="I126" s="459"/>
      <c r="J126" s="459"/>
      <c r="K126" s="473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22" s="53" customFormat="1" ht="24.75">
      <c r="A127" s="48" t="s">
        <v>143</v>
      </c>
      <c r="B127" s="197">
        <v>5974</v>
      </c>
      <c r="C127" s="58" t="s">
        <v>209</v>
      </c>
      <c r="D127" s="50" t="s">
        <v>29</v>
      </c>
      <c r="E127" s="47">
        <f>(E54+E55)*2</f>
        <v>169.548</v>
      </c>
      <c r="F127" s="47"/>
      <c r="G127" s="47"/>
      <c r="H127" s="47"/>
      <c r="I127" s="47"/>
      <c r="J127" s="47"/>
      <c r="K127" s="47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1:22" s="53" customFormat="1" ht="24.75">
      <c r="A128" s="48" t="s">
        <v>144</v>
      </c>
      <c r="B128" s="197">
        <v>5975</v>
      </c>
      <c r="C128" s="58" t="s">
        <v>210</v>
      </c>
      <c r="D128" s="50" t="s">
        <v>29</v>
      </c>
      <c r="E128" s="47">
        <f>E13</f>
        <v>29.74</v>
      </c>
      <c r="F128" s="47"/>
      <c r="G128" s="47"/>
      <c r="H128" s="47"/>
      <c r="I128" s="47"/>
      <c r="J128" s="47"/>
      <c r="K128" s="47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1" s="53" customFormat="1" ht="24.75">
      <c r="A129" s="48" t="s">
        <v>145</v>
      </c>
      <c r="B129" s="197">
        <v>5982</v>
      </c>
      <c r="C129" s="58" t="s">
        <v>211</v>
      </c>
      <c r="D129" s="50" t="s">
        <v>29</v>
      </c>
      <c r="E129" s="47">
        <f>E128</f>
        <v>29.74</v>
      </c>
      <c r="F129" s="47"/>
      <c r="G129" s="47"/>
      <c r="H129" s="47"/>
      <c r="I129" s="47"/>
      <c r="J129" s="47"/>
      <c r="K129" s="47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1" s="53" customFormat="1" ht="24.75">
      <c r="A130" s="48" t="s">
        <v>146</v>
      </c>
      <c r="B130" s="197">
        <v>5992</v>
      </c>
      <c r="C130" s="58" t="s">
        <v>212</v>
      </c>
      <c r="D130" s="50" t="s">
        <v>29</v>
      </c>
      <c r="E130" s="47">
        <f>E127</f>
        <v>169.548</v>
      </c>
      <c r="F130" s="47"/>
      <c r="G130" s="47"/>
      <c r="H130" s="47"/>
      <c r="I130" s="47"/>
      <c r="J130" s="47"/>
      <c r="K130" s="47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1:21" s="53" customFormat="1" ht="15" customHeight="1">
      <c r="A131" s="48" t="s">
        <v>147</v>
      </c>
      <c r="B131" s="180">
        <v>9536</v>
      </c>
      <c r="C131" s="167" t="s">
        <v>507</v>
      </c>
      <c r="D131" s="165" t="s">
        <v>29</v>
      </c>
      <c r="E131" s="289">
        <f>2*2.08</f>
        <v>4.16</v>
      </c>
      <c r="F131" s="117"/>
      <c r="G131" s="117"/>
      <c r="H131" s="117"/>
      <c r="I131" s="117"/>
      <c r="J131" s="117"/>
      <c r="K131" s="47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1:21" s="53" customFormat="1" ht="15" customHeight="1">
      <c r="A132" s="48" t="s">
        <v>148</v>
      </c>
      <c r="B132" s="329" t="s">
        <v>840</v>
      </c>
      <c r="C132" s="89" t="s">
        <v>841</v>
      </c>
      <c r="D132" s="213" t="s">
        <v>29</v>
      </c>
      <c r="E132" s="49">
        <f>E133</f>
        <v>29.74</v>
      </c>
      <c r="F132" s="117"/>
      <c r="G132" s="117"/>
      <c r="H132" s="117"/>
      <c r="I132" s="117"/>
      <c r="J132" s="117"/>
      <c r="K132" s="47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1:21" s="53" customFormat="1" ht="24.75">
      <c r="A133" s="48" t="s">
        <v>149</v>
      </c>
      <c r="B133" s="197" t="s">
        <v>269</v>
      </c>
      <c r="C133" s="181" t="s">
        <v>270</v>
      </c>
      <c r="D133" s="50" t="s">
        <v>29</v>
      </c>
      <c r="E133" s="47">
        <f>E128</f>
        <v>29.74</v>
      </c>
      <c r="F133" s="47"/>
      <c r="G133" s="47"/>
      <c r="H133" s="47"/>
      <c r="I133" s="47"/>
      <c r="J133" s="47"/>
      <c r="K133" s="47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1:21" s="53" customFormat="1">
      <c r="A134" s="48" t="s">
        <v>150</v>
      </c>
      <c r="B134" s="197" t="s">
        <v>217</v>
      </c>
      <c r="C134" s="193" t="s">
        <v>218</v>
      </c>
      <c r="D134" s="50" t="s">
        <v>28</v>
      </c>
      <c r="E134" s="47">
        <f>(1.5+0.5+0.5)*1.1</f>
        <v>2.75</v>
      </c>
      <c r="F134" s="47"/>
      <c r="G134" s="47"/>
      <c r="H134" s="47"/>
      <c r="I134" s="47"/>
      <c r="J134" s="47"/>
      <c r="K134" s="47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1" s="53" customFormat="1">
      <c r="A135" s="48" t="s">
        <v>382</v>
      </c>
      <c r="B135" s="197" t="s">
        <v>219</v>
      </c>
      <c r="C135" s="194" t="s">
        <v>220</v>
      </c>
      <c r="D135" s="50" t="s">
        <v>28</v>
      </c>
      <c r="E135" s="47">
        <f>(1.8+0.8+0.8)*1.1</f>
        <v>3.7400000000000007</v>
      </c>
      <c r="F135" s="47"/>
      <c r="G135" s="47"/>
      <c r="H135" s="47"/>
      <c r="I135" s="47"/>
      <c r="J135" s="47"/>
      <c r="K135" s="47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1:21" s="53" customFormat="1" ht="24.75">
      <c r="A136" s="48" t="s">
        <v>383</v>
      </c>
      <c r="B136" s="197" t="s">
        <v>269</v>
      </c>
      <c r="C136" s="181" t="s">
        <v>694</v>
      </c>
      <c r="D136" s="50" t="s">
        <v>29</v>
      </c>
      <c r="E136" s="47">
        <f>(1.4*((9.77*2)+9.2))*1.1</f>
        <v>44.259599999999999</v>
      </c>
      <c r="F136" s="47"/>
      <c r="G136" s="47"/>
      <c r="H136" s="47"/>
      <c r="I136" s="47"/>
      <c r="J136" s="47"/>
      <c r="K136" s="47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1:21">
      <c r="A137" s="479" t="s">
        <v>151</v>
      </c>
      <c r="B137" s="480"/>
      <c r="C137" s="480"/>
      <c r="D137" s="480"/>
      <c r="E137" s="480"/>
      <c r="F137" s="480"/>
      <c r="G137" s="480"/>
      <c r="H137" s="480"/>
      <c r="I137" s="481"/>
      <c r="J137" s="22"/>
      <c r="K137" s="22"/>
      <c r="L137" s="77"/>
      <c r="M137" s="11"/>
      <c r="N137" s="11"/>
      <c r="O137" s="11"/>
      <c r="P137" s="11"/>
      <c r="Q137" s="11"/>
      <c r="R137" s="11"/>
      <c r="S137" s="11"/>
      <c r="T137" s="11"/>
    </row>
    <row r="138" spans="1:21" s="74" customFormat="1">
      <c r="A138" s="70" t="s">
        <v>132</v>
      </c>
      <c r="B138" s="448" t="s">
        <v>133</v>
      </c>
      <c r="C138" s="449"/>
      <c r="D138" s="449"/>
      <c r="E138" s="449"/>
      <c r="F138" s="449"/>
      <c r="G138" s="449"/>
      <c r="H138" s="449"/>
      <c r="I138" s="449"/>
      <c r="J138" s="449"/>
      <c r="K138" s="449"/>
      <c r="L138" s="78"/>
      <c r="M138" s="73"/>
      <c r="N138" s="73"/>
      <c r="O138" s="73"/>
      <c r="P138" s="73"/>
      <c r="Q138" s="73"/>
      <c r="R138" s="73"/>
      <c r="S138" s="73"/>
      <c r="T138" s="73"/>
      <c r="U138" s="73"/>
    </row>
    <row r="139" spans="1:21" s="81" customFormat="1">
      <c r="A139" s="80" t="s">
        <v>134</v>
      </c>
      <c r="B139" s="211">
        <v>72116</v>
      </c>
      <c r="C139" s="200" t="s">
        <v>540</v>
      </c>
      <c r="D139" s="92" t="s">
        <v>29</v>
      </c>
      <c r="E139" s="47">
        <f>0.6*0.6*2</f>
        <v>0.72</v>
      </c>
      <c r="F139" s="47"/>
      <c r="G139" s="47"/>
      <c r="H139" s="47"/>
      <c r="I139" s="47"/>
      <c r="J139" s="47"/>
      <c r="K139" s="47"/>
      <c r="L139" s="78"/>
      <c r="M139" s="73"/>
      <c r="N139" s="73"/>
      <c r="O139" s="73"/>
      <c r="P139" s="73"/>
      <c r="Q139" s="73"/>
      <c r="R139" s="73"/>
      <c r="S139" s="73"/>
      <c r="T139" s="73"/>
      <c r="U139" s="73"/>
    </row>
    <row r="140" spans="1:21" s="81" customFormat="1">
      <c r="A140" s="80" t="s">
        <v>135</v>
      </c>
      <c r="B140" s="211">
        <v>72116</v>
      </c>
      <c r="C140" s="200" t="s">
        <v>271</v>
      </c>
      <c r="D140" s="92" t="s">
        <v>29</v>
      </c>
      <c r="E140" s="47">
        <f>1.5*1.2</f>
        <v>1.7999999999999998</v>
      </c>
      <c r="F140" s="47"/>
      <c r="G140" s="47"/>
      <c r="H140" s="47"/>
      <c r="I140" s="47"/>
      <c r="J140" s="47"/>
      <c r="K140" s="47"/>
      <c r="L140" s="78"/>
      <c r="M140" s="73"/>
      <c r="N140" s="73"/>
      <c r="O140" s="73"/>
      <c r="P140" s="73"/>
      <c r="Q140" s="73"/>
      <c r="R140" s="73"/>
      <c r="S140" s="73"/>
      <c r="T140" s="73"/>
      <c r="U140" s="73"/>
    </row>
    <row r="141" spans="1:21" s="81" customFormat="1">
      <c r="A141" s="80" t="s">
        <v>135</v>
      </c>
      <c r="B141" s="211">
        <v>72122</v>
      </c>
      <c r="C141" s="200" t="s">
        <v>688</v>
      </c>
      <c r="D141" s="92" t="s">
        <v>29</v>
      </c>
      <c r="E141" s="47">
        <f>0.5*0.6*2</f>
        <v>0.6</v>
      </c>
      <c r="F141" s="47"/>
      <c r="G141" s="47"/>
      <c r="H141" s="47"/>
      <c r="I141" s="47"/>
      <c r="J141" s="47"/>
      <c r="K141" s="47"/>
      <c r="L141" s="78"/>
      <c r="M141" s="73"/>
      <c r="N141" s="73"/>
      <c r="O141" s="73"/>
      <c r="P141" s="73"/>
      <c r="Q141" s="73"/>
      <c r="R141" s="73"/>
      <c r="S141" s="73"/>
      <c r="T141" s="73"/>
      <c r="U141" s="73"/>
    </row>
    <row r="142" spans="1:21" s="74" customFormat="1">
      <c r="A142" s="450" t="s">
        <v>137</v>
      </c>
      <c r="B142" s="451"/>
      <c r="C142" s="451"/>
      <c r="D142" s="451"/>
      <c r="E142" s="451"/>
      <c r="F142" s="451"/>
      <c r="G142" s="451"/>
      <c r="H142" s="451"/>
      <c r="I142" s="452"/>
      <c r="J142" s="22"/>
      <c r="K142" s="22"/>
      <c r="L142" s="79"/>
      <c r="M142" s="73"/>
      <c r="N142" s="73"/>
      <c r="O142" s="73"/>
      <c r="P142" s="73"/>
      <c r="Q142" s="73"/>
      <c r="R142" s="73"/>
      <c r="S142" s="73"/>
      <c r="T142" s="73"/>
      <c r="U142" s="73"/>
    </row>
    <row r="143" spans="1:21" s="53" customFormat="1">
      <c r="A143" s="60" t="s">
        <v>152</v>
      </c>
      <c r="B143" s="453" t="s">
        <v>67</v>
      </c>
      <c r="C143" s="454"/>
      <c r="D143" s="454"/>
      <c r="E143" s="454"/>
      <c r="F143" s="454"/>
      <c r="G143" s="454"/>
      <c r="H143" s="454"/>
      <c r="I143" s="454"/>
      <c r="J143" s="454"/>
      <c r="K143" s="455"/>
      <c r="L143" s="77"/>
      <c r="M143" s="11"/>
      <c r="N143" s="11"/>
      <c r="O143" s="11"/>
      <c r="P143" s="11"/>
      <c r="Q143" s="11"/>
      <c r="R143" s="11"/>
      <c r="S143" s="11"/>
      <c r="T143" s="11"/>
    </row>
    <row r="144" spans="1:21" s="53" customFormat="1">
      <c r="A144" s="48" t="s">
        <v>153</v>
      </c>
      <c r="B144" s="195" t="s">
        <v>234</v>
      </c>
      <c r="C144" s="76" t="s">
        <v>235</v>
      </c>
      <c r="D144" s="50" t="s">
        <v>29</v>
      </c>
      <c r="E144" s="47">
        <f>E127+E128-(E136/1.1)</f>
        <v>159.05200000000002</v>
      </c>
      <c r="F144" s="47"/>
      <c r="G144" s="47"/>
      <c r="H144" s="47"/>
      <c r="I144" s="47"/>
      <c r="J144" s="47"/>
      <c r="K144" s="47"/>
      <c r="L144" s="11"/>
      <c r="M144" s="11"/>
      <c r="N144" s="11"/>
      <c r="O144" s="11"/>
      <c r="P144" s="11"/>
      <c r="Q144" s="11"/>
      <c r="R144" s="11"/>
      <c r="S144" s="11"/>
      <c r="T144" s="11"/>
    </row>
    <row r="145" spans="1:22" s="53" customFormat="1">
      <c r="A145" s="48" t="s">
        <v>154</v>
      </c>
      <c r="B145" s="197">
        <v>79460</v>
      </c>
      <c r="C145" s="76" t="s">
        <v>279</v>
      </c>
      <c r="D145" s="50" t="s">
        <v>29</v>
      </c>
      <c r="E145" s="47">
        <f>(2.05*((9.77*2)+9.2))</f>
        <v>58.916999999999994</v>
      </c>
      <c r="F145" s="47"/>
      <c r="G145" s="47"/>
      <c r="H145" s="47"/>
      <c r="I145" s="47"/>
      <c r="J145" s="47"/>
      <c r="K145" s="47"/>
      <c r="L145" s="11"/>
      <c r="M145" s="11"/>
      <c r="N145" s="11"/>
      <c r="O145" s="11"/>
      <c r="P145" s="11"/>
      <c r="Q145" s="11"/>
      <c r="R145" s="11"/>
      <c r="S145" s="11"/>
      <c r="T145" s="11"/>
    </row>
    <row r="146" spans="1:22" s="53" customFormat="1">
      <c r="A146" s="48"/>
      <c r="B146" s="197">
        <v>79462</v>
      </c>
      <c r="C146" s="76" t="s">
        <v>675</v>
      </c>
      <c r="D146" s="50" t="s">
        <v>29</v>
      </c>
      <c r="E146" s="47">
        <f>E145</f>
        <v>58.916999999999994</v>
      </c>
      <c r="F146" s="47"/>
      <c r="G146" s="47"/>
      <c r="H146" s="47"/>
      <c r="I146" s="47"/>
      <c r="J146" s="47"/>
      <c r="K146" s="47"/>
      <c r="L146" s="11"/>
      <c r="M146" s="11"/>
      <c r="N146" s="11"/>
      <c r="O146" s="11"/>
      <c r="P146" s="11"/>
      <c r="Q146" s="11"/>
      <c r="R146" s="11"/>
      <c r="S146" s="11"/>
      <c r="T146" s="11"/>
    </row>
    <row r="147" spans="1:22" s="53" customFormat="1">
      <c r="A147" s="48" t="s">
        <v>155</v>
      </c>
      <c r="B147" s="166" t="s">
        <v>509</v>
      </c>
      <c r="C147" s="76" t="s">
        <v>510</v>
      </c>
      <c r="D147" s="165" t="s">
        <v>29</v>
      </c>
      <c r="E147" s="117">
        <f>E131*1.15</f>
        <v>4.7839999999999998</v>
      </c>
      <c r="F147" s="117"/>
      <c r="G147" s="117"/>
      <c r="H147" s="117"/>
      <c r="I147" s="117"/>
      <c r="J147" s="117"/>
      <c r="K147" s="47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1:22" s="53" customFormat="1">
      <c r="A148" s="48" t="s">
        <v>476</v>
      </c>
      <c r="B148" s="195" t="s">
        <v>236</v>
      </c>
      <c r="C148" s="76" t="s">
        <v>237</v>
      </c>
      <c r="D148" s="50" t="s">
        <v>29</v>
      </c>
      <c r="E148" s="47">
        <f>E144-E145</f>
        <v>100.13500000000002</v>
      </c>
      <c r="F148" s="47"/>
      <c r="G148" s="47"/>
      <c r="H148" s="47"/>
      <c r="I148" s="47"/>
      <c r="J148" s="47"/>
      <c r="K148" s="47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1:22" s="53" customFormat="1">
      <c r="A149" s="479" t="s">
        <v>156</v>
      </c>
      <c r="B149" s="480"/>
      <c r="C149" s="480"/>
      <c r="D149" s="480"/>
      <c r="E149" s="480"/>
      <c r="F149" s="480"/>
      <c r="G149" s="480"/>
      <c r="H149" s="480"/>
      <c r="I149" s="481"/>
      <c r="J149" s="23"/>
      <c r="K149" s="23"/>
      <c r="L149" s="77"/>
      <c r="M149" s="11"/>
      <c r="N149" s="11"/>
      <c r="O149" s="11"/>
      <c r="P149" s="11"/>
      <c r="Q149" s="11"/>
      <c r="R149" s="11"/>
      <c r="S149" s="11"/>
      <c r="T149" s="11"/>
    </row>
    <row r="150" spans="1:22" s="74" customFormat="1">
      <c r="A150" s="70" t="s">
        <v>158</v>
      </c>
      <c r="B150" s="477" t="s">
        <v>120</v>
      </c>
      <c r="C150" s="478"/>
      <c r="D150" s="478"/>
      <c r="E150" s="478"/>
      <c r="F150" s="478"/>
      <c r="G150" s="478"/>
      <c r="H150" s="478"/>
      <c r="I150" s="478"/>
      <c r="J150" s="478"/>
      <c r="K150" s="478"/>
      <c r="L150" s="78"/>
      <c r="M150" s="73"/>
      <c r="N150" s="73"/>
      <c r="O150" s="73"/>
      <c r="P150" s="73"/>
      <c r="Q150" s="73"/>
      <c r="R150" s="73"/>
      <c r="S150" s="73"/>
      <c r="T150" s="73"/>
      <c r="U150" s="73"/>
      <c r="V150" s="73"/>
    </row>
    <row r="151" spans="1:22" s="74" customFormat="1">
      <c r="A151" s="70" t="s">
        <v>157</v>
      </c>
      <c r="B151" s="241" t="s">
        <v>440</v>
      </c>
      <c r="C151" s="122" t="s">
        <v>531</v>
      </c>
      <c r="D151" s="123" t="s">
        <v>29</v>
      </c>
      <c r="E151" s="183">
        <f>53.39-26.81</f>
        <v>26.580000000000002</v>
      </c>
      <c r="F151" s="242"/>
      <c r="G151" s="117"/>
      <c r="H151" s="117"/>
      <c r="I151" s="117"/>
      <c r="J151" s="117"/>
      <c r="K151" s="117"/>
      <c r="L151" s="78"/>
      <c r="M151" s="73"/>
      <c r="N151" s="73"/>
      <c r="O151" s="73"/>
      <c r="P151" s="73"/>
      <c r="Q151" s="73"/>
      <c r="R151" s="73"/>
      <c r="S151" s="73"/>
      <c r="T151" s="73"/>
      <c r="U151" s="73"/>
      <c r="V151" s="73"/>
    </row>
    <row r="152" spans="1:22" s="74" customFormat="1">
      <c r="A152" s="462" t="s">
        <v>161</v>
      </c>
      <c r="B152" s="463"/>
      <c r="C152" s="463"/>
      <c r="D152" s="463"/>
      <c r="E152" s="463"/>
      <c r="F152" s="463"/>
      <c r="G152" s="463"/>
      <c r="H152" s="463"/>
      <c r="I152" s="464"/>
      <c r="J152" s="23"/>
      <c r="K152" s="23"/>
      <c r="L152" s="79"/>
      <c r="M152" s="73"/>
      <c r="N152" s="73"/>
      <c r="O152" s="73"/>
      <c r="P152" s="73"/>
      <c r="Q152" s="73"/>
      <c r="R152" s="73"/>
      <c r="S152" s="73"/>
      <c r="T152" s="73"/>
      <c r="U152" s="73"/>
      <c r="V152" s="73"/>
    </row>
    <row r="153" spans="1:22">
      <c r="A153" s="60" t="s">
        <v>119</v>
      </c>
      <c r="B153" s="458" t="s">
        <v>25</v>
      </c>
      <c r="C153" s="459"/>
      <c r="D153" s="459"/>
      <c r="E153" s="459"/>
      <c r="F153" s="459"/>
      <c r="G153" s="459"/>
      <c r="H153" s="459"/>
      <c r="I153" s="459"/>
      <c r="J153" s="459"/>
      <c r="K153" s="459"/>
      <c r="L153" s="83"/>
    </row>
    <row r="154" spans="1:22" s="53" customFormat="1">
      <c r="A154" s="48" t="s">
        <v>121</v>
      </c>
      <c r="B154" s="197">
        <v>9537</v>
      </c>
      <c r="C154" s="11" t="s">
        <v>239</v>
      </c>
      <c r="D154" s="50" t="s">
        <v>29</v>
      </c>
      <c r="E154" s="47">
        <f>E13</f>
        <v>29.74</v>
      </c>
      <c r="F154" s="47"/>
      <c r="G154" s="47"/>
      <c r="H154" s="47"/>
      <c r="I154" s="47"/>
      <c r="J154" s="47"/>
      <c r="K154" s="47"/>
    </row>
    <row r="155" spans="1:22">
      <c r="A155" s="479" t="s">
        <v>124</v>
      </c>
      <c r="B155" s="480"/>
      <c r="C155" s="480"/>
      <c r="D155" s="480"/>
      <c r="E155" s="480"/>
      <c r="F155" s="480"/>
      <c r="G155" s="480"/>
      <c r="H155" s="480"/>
      <c r="I155" s="481"/>
      <c r="J155" s="23"/>
      <c r="K155" s="39"/>
    </row>
    <row r="156" spans="1:22" s="26" customFormat="1">
      <c r="A156" s="20"/>
      <c r="B156" s="75"/>
      <c r="C156" s="460"/>
      <c r="D156" s="460"/>
      <c r="E156" s="460"/>
      <c r="F156" s="460"/>
      <c r="G156" s="460"/>
      <c r="H156" s="460"/>
      <c r="I156" s="460"/>
      <c r="J156" s="460"/>
      <c r="K156" s="461"/>
    </row>
    <row r="157" spans="1:22" s="69" customFormat="1" ht="15.75">
      <c r="A157" s="445" t="s">
        <v>14</v>
      </c>
      <c r="B157" s="446"/>
      <c r="C157" s="446"/>
      <c r="D157" s="446"/>
      <c r="E157" s="446"/>
      <c r="F157" s="446"/>
      <c r="G157" s="446"/>
      <c r="H157" s="446"/>
      <c r="I157" s="447"/>
      <c r="J157" s="68"/>
      <c r="K157" s="68"/>
    </row>
    <row r="159" spans="1:22">
      <c r="H159" s="43"/>
      <c r="I159" s="12"/>
    </row>
    <row r="160" spans="1:22">
      <c r="I160" s="31"/>
    </row>
    <row r="162" spans="1:10">
      <c r="A162" s="28"/>
      <c r="B162" s="28"/>
      <c r="C162" s="28"/>
      <c r="D162" s="29"/>
      <c r="E162" s="30"/>
      <c r="F162" s="28"/>
      <c r="G162" s="28"/>
      <c r="H162" s="28"/>
      <c r="I162" s="28"/>
      <c r="J162" s="28"/>
    </row>
    <row r="163" spans="1:10">
      <c r="A163" s="28"/>
      <c r="B163" s="28"/>
      <c r="C163" s="28"/>
      <c r="D163" s="29"/>
      <c r="E163" s="30"/>
      <c r="F163" s="28"/>
      <c r="G163" s="30"/>
      <c r="H163" s="28"/>
      <c r="I163" s="30"/>
      <c r="J163" s="30"/>
    </row>
    <row r="164" spans="1:10">
      <c r="A164" s="28"/>
      <c r="B164" s="28"/>
      <c r="C164" s="28"/>
      <c r="D164" s="29"/>
      <c r="E164" s="30"/>
      <c r="F164" s="28"/>
      <c r="G164" s="30"/>
      <c r="H164" s="28"/>
      <c r="I164" s="30"/>
      <c r="J164" s="30"/>
    </row>
    <row r="165" spans="1:10">
      <c r="A165" s="28"/>
      <c r="B165" s="28"/>
      <c r="C165" s="28"/>
      <c r="D165" s="29"/>
      <c r="E165" s="30"/>
      <c r="F165" s="28"/>
      <c r="G165" s="30"/>
      <c r="H165" s="28"/>
      <c r="I165" s="30"/>
      <c r="J165" s="30"/>
    </row>
    <row r="166" spans="1:10">
      <c r="A166" s="28"/>
      <c r="B166" s="28"/>
      <c r="C166" s="28"/>
      <c r="D166" s="29"/>
      <c r="E166" s="30"/>
      <c r="F166" s="28"/>
      <c r="G166" s="30"/>
      <c r="H166" s="28"/>
      <c r="I166" s="30"/>
      <c r="J166" s="30"/>
    </row>
    <row r="167" spans="1:10">
      <c r="A167" s="28"/>
      <c r="B167" s="28"/>
      <c r="C167" s="28"/>
      <c r="D167" s="29"/>
      <c r="E167" s="30"/>
      <c r="F167" s="28"/>
      <c r="G167" s="30"/>
      <c r="H167" s="28"/>
      <c r="I167" s="30"/>
      <c r="J167" s="30"/>
    </row>
    <row r="168" spans="1:10">
      <c r="A168" s="28"/>
      <c r="B168" s="28"/>
      <c r="C168" s="28"/>
      <c r="D168" s="29"/>
      <c r="E168" s="30"/>
      <c r="F168" s="28"/>
      <c r="G168" s="30"/>
      <c r="H168" s="28"/>
      <c r="I168" s="30"/>
      <c r="J168" s="30"/>
    </row>
    <row r="169" spans="1:10">
      <c r="A169" s="28"/>
      <c r="B169" s="28"/>
      <c r="C169" s="28"/>
      <c r="D169" s="29"/>
      <c r="E169" s="30"/>
      <c r="F169" s="28"/>
      <c r="G169" s="30"/>
      <c r="H169" s="28"/>
      <c r="I169" s="30"/>
      <c r="J169" s="30"/>
    </row>
    <row r="170" spans="1:10">
      <c r="A170" s="28"/>
      <c r="B170" s="28"/>
      <c r="C170" s="28"/>
      <c r="D170" s="29"/>
      <c r="E170" s="30"/>
      <c r="F170" s="28"/>
      <c r="G170" s="30"/>
      <c r="H170" s="28"/>
      <c r="I170" s="30"/>
      <c r="J170" s="30"/>
    </row>
    <row r="171" spans="1:10">
      <c r="A171" s="31"/>
      <c r="B171" s="31"/>
      <c r="C171" s="31"/>
      <c r="D171" s="32"/>
      <c r="E171" s="45"/>
      <c r="F171" s="31"/>
      <c r="G171" s="31"/>
      <c r="H171" s="31"/>
      <c r="I171" s="31"/>
      <c r="J171" s="31"/>
    </row>
    <row r="172" spans="1:10">
      <c r="A172" s="28"/>
      <c r="B172" s="28"/>
      <c r="C172" s="28"/>
      <c r="D172" s="29"/>
      <c r="E172" s="30"/>
      <c r="F172" s="28"/>
      <c r="G172" s="30"/>
      <c r="H172" s="28"/>
      <c r="I172" s="30"/>
      <c r="J172" s="30"/>
    </row>
    <row r="173" spans="1:10">
      <c r="A173" s="28"/>
      <c r="B173" s="28"/>
      <c r="C173" s="28"/>
      <c r="D173" s="29"/>
      <c r="E173" s="30"/>
      <c r="F173" s="28"/>
      <c r="G173" s="30"/>
      <c r="H173" s="28"/>
      <c r="I173" s="30"/>
      <c r="J173" s="30"/>
    </row>
    <row r="174" spans="1:10">
      <c r="A174" s="28"/>
      <c r="B174" s="28"/>
      <c r="C174" s="28"/>
      <c r="D174" s="29"/>
      <c r="E174" s="30"/>
      <c r="F174" s="30"/>
      <c r="G174" s="30"/>
      <c r="H174" s="28"/>
      <c r="I174" s="30"/>
      <c r="J174" s="30"/>
    </row>
    <row r="175" spans="1:10">
      <c r="A175" s="28"/>
      <c r="B175" s="28"/>
      <c r="C175" s="28"/>
      <c r="D175" s="29"/>
      <c r="E175" s="30"/>
      <c r="F175" s="30"/>
      <c r="G175" s="30"/>
      <c r="H175" s="28"/>
      <c r="I175" s="30"/>
      <c r="J175" s="30"/>
    </row>
    <row r="176" spans="1:10">
      <c r="A176" s="28"/>
      <c r="B176" s="28"/>
      <c r="C176" s="28"/>
      <c r="D176" s="29"/>
      <c r="E176" s="30"/>
      <c r="F176" s="30"/>
      <c r="G176" s="30"/>
      <c r="H176" s="28"/>
      <c r="I176" s="30"/>
      <c r="J176" s="30"/>
    </row>
    <row r="177" spans="1:11">
      <c r="A177" s="28"/>
      <c r="B177" s="28"/>
      <c r="C177" s="28"/>
      <c r="D177" s="29"/>
      <c r="E177" s="30"/>
      <c r="F177" s="30"/>
      <c r="G177" s="30"/>
      <c r="H177" s="28"/>
      <c r="I177" s="30"/>
      <c r="J177" s="30"/>
    </row>
    <row r="178" spans="1:11">
      <c r="A178" s="28"/>
      <c r="B178" s="28"/>
      <c r="C178" s="28"/>
      <c r="D178" s="29"/>
      <c r="E178" s="30"/>
      <c r="F178" s="30"/>
      <c r="G178" s="30"/>
      <c r="H178" s="28"/>
      <c r="I178" s="30"/>
      <c r="J178" s="30"/>
    </row>
    <row r="179" spans="1:11">
      <c r="A179" s="28"/>
      <c r="B179" s="28"/>
      <c r="C179" s="28"/>
      <c r="D179" s="29"/>
      <c r="E179" s="30"/>
      <c r="F179" s="30"/>
      <c r="G179" s="30"/>
      <c r="H179" s="28"/>
      <c r="I179" s="30"/>
      <c r="J179" s="30"/>
    </row>
    <row r="180" spans="1:11">
      <c r="A180" s="28"/>
      <c r="B180" s="28"/>
      <c r="C180" s="28"/>
      <c r="D180" s="29"/>
      <c r="E180" s="30"/>
      <c r="F180" s="30"/>
      <c r="G180" s="30"/>
      <c r="H180" s="30"/>
      <c r="I180" s="30"/>
      <c r="J180" s="30"/>
    </row>
    <row r="181" spans="1:11">
      <c r="A181" s="28"/>
      <c r="B181" s="28"/>
      <c r="C181" s="28"/>
      <c r="D181" s="29"/>
      <c r="E181" s="30"/>
      <c r="F181" s="28"/>
      <c r="G181" s="30"/>
      <c r="H181" s="28"/>
      <c r="I181" s="30"/>
      <c r="J181" s="30"/>
    </row>
    <row r="182" spans="1:11">
      <c r="A182" s="28"/>
      <c r="B182" s="28"/>
      <c r="C182" s="28"/>
      <c r="D182" s="29"/>
      <c r="E182" s="30"/>
      <c r="F182" s="30"/>
      <c r="G182" s="30"/>
      <c r="H182" s="28"/>
      <c r="I182" s="30"/>
      <c r="J182" s="30"/>
    </row>
    <row r="183" spans="1:11">
      <c r="A183" s="28"/>
      <c r="B183" s="28"/>
      <c r="C183" s="28"/>
      <c r="D183" s="29"/>
      <c r="E183" s="30"/>
      <c r="F183" s="30"/>
      <c r="G183" s="30"/>
      <c r="H183" s="28"/>
      <c r="I183" s="30"/>
      <c r="J183" s="30"/>
    </row>
    <row r="184" spans="1:11">
      <c r="A184" s="28"/>
      <c r="B184" s="28"/>
      <c r="C184" s="28"/>
      <c r="D184" s="29"/>
      <c r="E184" s="30"/>
      <c r="F184" s="28"/>
      <c r="G184" s="30"/>
      <c r="H184" s="28"/>
      <c r="I184" s="30"/>
      <c r="J184" s="30"/>
      <c r="K184" s="26"/>
    </row>
    <row r="185" spans="1:11">
      <c r="A185" s="33"/>
      <c r="B185" s="33"/>
      <c r="C185" s="34"/>
      <c r="D185" s="35"/>
      <c r="E185" s="46"/>
      <c r="F185" s="33"/>
      <c r="G185" s="30"/>
      <c r="H185" s="33"/>
      <c r="I185" s="30"/>
      <c r="J185" s="30"/>
    </row>
    <row r="186" spans="1:11">
      <c r="A186" s="28"/>
      <c r="B186" s="28"/>
      <c r="C186" s="28"/>
      <c r="D186" s="29"/>
      <c r="E186" s="30"/>
      <c r="F186" s="28"/>
      <c r="G186" s="30"/>
      <c r="H186" s="28"/>
      <c r="I186" s="30"/>
      <c r="J186" s="30"/>
    </row>
    <row r="187" spans="1:11">
      <c r="A187" s="28"/>
      <c r="B187" s="28"/>
      <c r="C187" s="28"/>
      <c r="D187" s="29"/>
      <c r="E187" s="30"/>
      <c r="F187" s="28"/>
      <c r="G187" s="30"/>
      <c r="H187" s="28"/>
      <c r="I187" s="30"/>
      <c r="J187" s="30"/>
    </row>
    <row r="188" spans="1:11">
      <c r="A188" s="28"/>
      <c r="B188" s="28"/>
      <c r="C188" s="28"/>
      <c r="D188" s="29"/>
      <c r="E188" s="30"/>
      <c r="F188" s="28"/>
      <c r="G188" s="30"/>
      <c r="H188" s="28"/>
      <c r="I188" s="30"/>
      <c r="J188" s="30"/>
    </row>
    <row r="189" spans="1:11">
      <c r="A189" s="28"/>
      <c r="B189" s="28"/>
      <c r="C189" s="28"/>
      <c r="D189" s="29"/>
      <c r="E189" s="30"/>
      <c r="F189" s="28"/>
      <c r="G189" s="30"/>
      <c r="H189" s="28"/>
      <c r="I189" s="30"/>
      <c r="J189" s="30"/>
    </row>
    <row r="190" spans="1:11">
      <c r="A190" s="28"/>
      <c r="B190" s="28"/>
      <c r="C190" s="28"/>
      <c r="D190" s="29"/>
      <c r="E190" s="30"/>
      <c r="F190" s="30"/>
      <c r="G190" s="30"/>
      <c r="H190" s="30"/>
      <c r="I190" s="30"/>
      <c r="J190" s="30"/>
    </row>
    <row r="191" spans="1:11">
      <c r="A191" s="31"/>
      <c r="B191" s="31"/>
      <c r="C191" s="31"/>
      <c r="D191" s="32"/>
      <c r="E191" s="45"/>
      <c r="F191" s="31"/>
      <c r="G191" s="31"/>
      <c r="H191" s="31"/>
      <c r="I191" s="31"/>
      <c r="J191" s="31"/>
    </row>
    <row r="192" spans="1:11">
      <c r="A192" s="31"/>
      <c r="B192" s="31"/>
      <c r="C192" s="31"/>
    </row>
    <row r="193" spans="1:11">
      <c r="A193" s="28"/>
      <c r="B193" s="28"/>
      <c r="C193" s="29"/>
      <c r="D193" s="28"/>
      <c r="E193" s="30"/>
      <c r="F193" s="28"/>
      <c r="G193" s="28"/>
      <c r="H193" s="28"/>
      <c r="I193" s="28"/>
      <c r="J193" s="28"/>
      <c r="K193" s="12"/>
    </row>
    <row r="194" spans="1:11">
      <c r="A194" s="28"/>
      <c r="B194" s="28"/>
      <c r="C194" s="28"/>
      <c r="D194" s="29"/>
      <c r="E194" s="30"/>
      <c r="F194" s="30"/>
      <c r="G194" s="30"/>
      <c r="H194" s="30"/>
      <c r="I194" s="30"/>
      <c r="J194" s="30"/>
      <c r="K194" s="28"/>
    </row>
    <row r="195" spans="1:11">
      <c r="A195" s="28"/>
      <c r="B195" s="28"/>
      <c r="C195" s="28"/>
      <c r="D195" s="29"/>
      <c r="E195" s="30"/>
      <c r="F195" s="30"/>
      <c r="G195" s="30"/>
      <c r="H195" s="30"/>
      <c r="I195" s="30"/>
      <c r="J195" s="30"/>
      <c r="K195" s="28"/>
    </row>
    <row r="196" spans="1:11">
      <c r="A196" s="28"/>
      <c r="B196" s="28"/>
      <c r="C196" s="28"/>
      <c r="D196" s="29"/>
      <c r="E196" s="30"/>
      <c r="F196" s="30"/>
      <c r="G196" s="30"/>
      <c r="H196" s="30"/>
      <c r="I196" s="30"/>
      <c r="J196" s="30"/>
      <c r="K196" s="28"/>
    </row>
    <row r="197" spans="1:11">
      <c r="A197" s="28"/>
      <c r="B197" s="28"/>
      <c r="C197" s="28"/>
      <c r="D197" s="29"/>
      <c r="E197" s="30"/>
      <c r="F197" s="30"/>
      <c r="G197" s="30"/>
      <c r="H197" s="30"/>
      <c r="I197" s="30"/>
      <c r="J197" s="30"/>
      <c r="K197" s="28"/>
    </row>
    <row r="198" spans="1:11">
      <c r="A198" s="28"/>
      <c r="B198" s="28"/>
      <c r="C198" s="28"/>
      <c r="D198" s="29"/>
      <c r="E198" s="30"/>
      <c r="F198" s="30"/>
      <c r="G198" s="30"/>
      <c r="H198" s="30"/>
      <c r="I198" s="30"/>
      <c r="J198" s="30"/>
      <c r="K198" s="28"/>
    </row>
    <row r="199" spans="1:11">
      <c r="A199" s="28"/>
      <c r="B199" s="28"/>
      <c r="C199" s="28"/>
      <c r="D199" s="29"/>
      <c r="E199" s="30"/>
      <c r="F199" s="30"/>
      <c r="G199" s="30"/>
      <c r="H199" s="30"/>
      <c r="I199" s="30"/>
      <c r="J199" s="30"/>
      <c r="K199" s="28"/>
    </row>
    <row r="200" spans="1:11">
      <c r="A200" s="28"/>
      <c r="B200" s="28"/>
      <c r="C200" s="28"/>
      <c r="D200" s="29"/>
      <c r="E200" s="30"/>
      <c r="F200" s="30"/>
      <c r="G200" s="30"/>
      <c r="H200" s="30"/>
      <c r="I200" s="30"/>
      <c r="J200" s="30"/>
      <c r="K200" s="28"/>
    </row>
    <row r="201" spans="1:11">
      <c r="A201" s="28"/>
      <c r="B201" s="28"/>
      <c r="C201" s="28"/>
      <c r="D201" s="29"/>
      <c r="E201" s="30"/>
      <c r="F201" s="30"/>
      <c r="G201" s="30"/>
      <c r="H201" s="30"/>
      <c r="I201" s="30"/>
      <c r="J201" s="30"/>
      <c r="K201" s="28"/>
    </row>
    <row r="202" spans="1:11">
      <c r="A202" s="28"/>
      <c r="B202" s="28"/>
      <c r="C202" s="28"/>
      <c r="D202" s="29"/>
      <c r="E202" s="30"/>
      <c r="F202" s="30"/>
      <c r="G202" s="30"/>
      <c r="H202" s="30"/>
      <c r="I202" s="30"/>
      <c r="J202" s="30"/>
      <c r="K202" s="28"/>
    </row>
    <row r="203" spans="1:11">
      <c r="A203" s="28"/>
      <c r="B203" s="28"/>
      <c r="C203" s="28"/>
      <c r="D203" s="29"/>
      <c r="E203" s="30"/>
      <c r="F203" s="30"/>
      <c r="G203" s="30"/>
      <c r="H203" s="30"/>
      <c r="I203" s="30"/>
      <c r="J203" s="30"/>
      <c r="K203" s="28"/>
    </row>
    <row r="204" spans="1:11">
      <c r="A204" s="28"/>
      <c r="B204" s="28"/>
      <c r="C204" s="28"/>
      <c r="D204" s="29"/>
      <c r="E204" s="30"/>
      <c r="F204" s="30"/>
      <c r="G204" s="30"/>
      <c r="H204" s="30"/>
      <c r="I204" s="30"/>
      <c r="J204" s="30"/>
      <c r="K204" s="28"/>
    </row>
    <row r="205" spans="1:11">
      <c r="A205" s="28"/>
      <c r="B205" s="28"/>
      <c r="C205" s="28"/>
      <c r="D205" s="29"/>
      <c r="E205" s="30"/>
      <c r="F205" s="30"/>
      <c r="G205" s="30"/>
      <c r="H205" s="30"/>
      <c r="I205" s="30"/>
      <c r="J205" s="30"/>
      <c r="K205" s="28"/>
    </row>
    <row r="206" spans="1:11">
      <c r="A206" s="28"/>
      <c r="B206" s="28"/>
      <c r="C206" s="28"/>
      <c r="D206" s="29"/>
      <c r="E206" s="30"/>
      <c r="F206" s="30"/>
      <c r="G206" s="30"/>
      <c r="H206" s="30"/>
      <c r="I206" s="30"/>
      <c r="J206" s="30"/>
      <c r="K206" s="28"/>
    </row>
    <row r="207" spans="1:11">
      <c r="A207" s="28"/>
      <c r="B207" s="28"/>
      <c r="C207" s="28"/>
      <c r="D207" s="29"/>
      <c r="E207" s="30"/>
      <c r="F207" s="30"/>
      <c r="G207" s="30"/>
      <c r="H207" s="30"/>
      <c r="I207" s="30"/>
      <c r="J207" s="30"/>
      <c r="K207" s="28"/>
    </row>
    <row r="208" spans="1:11">
      <c r="A208" s="28"/>
      <c r="B208" s="28"/>
      <c r="C208" s="28"/>
      <c r="D208" s="29"/>
      <c r="E208" s="30"/>
      <c r="F208" s="30"/>
      <c r="G208" s="30"/>
      <c r="H208" s="30"/>
      <c r="I208" s="30"/>
      <c r="J208" s="30"/>
      <c r="K208" s="28"/>
    </row>
    <row r="209" spans="1:11">
      <c r="A209" s="28"/>
      <c r="B209" s="28"/>
      <c r="C209" s="28"/>
      <c r="D209" s="29"/>
      <c r="E209" s="30"/>
      <c r="F209" s="30"/>
      <c r="G209" s="30"/>
      <c r="H209" s="30"/>
      <c r="I209" s="30"/>
      <c r="J209" s="30"/>
      <c r="K209" s="28"/>
    </row>
    <row r="210" spans="1:11">
      <c r="A210" s="28"/>
      <c r="B210" s="28"/>
      <c r="C210" s="40"/>
      <c r="D210" s="29"/>
      <c r="E210" s="41"/>
      <c r="F210" s="30"/>
      <c r="G210" s="30"/>
      <c r="H210" s="30"/>
      <c r="I210" s="30"/>
      <c r="J210" s="30"/>
      <c r="K210" s="28"/>
    </row>
    <row r="211" spans="1:11">
      <c r="A211" s="28"/>
      <c r="B211" s="28"/>
      <c r="C211" s="40"/>
      <c r="D211" s="29"/>
      <c r="E211" s="41"/>
      <c r="F211" s="30"/>
      <c r="G211" s="30"/>
      <c r="H211" s="30"/>
      <c r="I211" s="30"/>
      <c r="J211" s="30"/>
      <c r="K211" s="28"/>
    </row>
    <row r="212" spans="1:11">
      <c r="A212" s="28"/>
      <c r="B212" s="28"/>
      <c r="C212" s="40"/>
      <c r="D212" s="29"/>
      <c r="E212" s="41"/>
      <c r="F212" s="30"/>
      <c r="G212" s="30"/>
      <c r="H212" s="30"/>
      <c r="I212" s="30"/>
      <c r="J212" s="30"/>
      <c r="K212" s="28"/>
    </row>
    <row r="213" spans="1:11">
      <c r="A213" s="28"/>
      <c r="B213" s="28"/>
      <c r="C213" s="40"/>
      <c r="D213" s="29"/>
      <c r="E213" s="41"/>
      <c r="F213" s="30"/>
      <c r="G213" s="30"/>
      <c r="H213" s="30"/>
      <c r="I213" s="30"/>
      <c r="J213" s="30"/>
      <c r="K213" s="28"/>
    </row>
    <row r="214" spans="1:11">
      <c r="A214" s="28"/>
      <c r="B214" s="28"/>
      <c r="C214" s="28"/>
      <c r="D214" s="29"/>
      <c r="E214" s="30"/>
      <c r="F214" s="30"/>
      <c r="G214" s="30"/>
      <c r="H214" s="30"/>
      <c r="I214" s="30"/>
      <c r="J214" s="30"/>
      <c r="K214" s="28"/>
    </row>
    <row r="215" spans="1:11">
      <c r="A215" s="28"/>
      <c r="B215" s="28"/>
      <c r="C215" s="28"/>
      <c r="D215" s="42"/>
      <c r="E215" s="30"/>
      <c r="F215" s="30"/>
      <c r="G215" s="30"/>
      <c r="H215" s="30"/>
      <c r="I215" s="30"/>
      <c r="J215" s="30"/>
      <c r="K215" s="28"/>
    </row>
    <row r="216" spans="1:11">
      <c r="A216" s="28"/>
      <c r="B216" s="28"/>
      <c r="C216" s="28"/>
      <c r="D216" s="29"/>
      <c r="E216" s="30"/>
      <c r="F216" s="30"/>
      <c r="G216" s="30"/>
      <c r="H216" s="30"/>
      <c r="I216" s="30"/>
      <c r="J216" s="30"/>
      <c r="K216" s="28"/>
    </row>
    <row r="217" spans="1:11">
      <c r="A217" s="28"/>
      <c r="B217" s="28"/>
      <c r="C217" s="28"/>
      <c r="D217" s="29"/>
      <c r="E217" s="30"/>
      <c r="F217" s="30"/>
      <c r="G217" s="30"/>
      <c r="H217" s="30"/>
      <c r="I217" s="30"/>
      <c r="J217" s="30"/>
      <c r="K217" s="28"/>
    </row>
    <row r="218" spans="1:11">
      <c r="A218" s="28"/>
      <c r="B218" s="28"/>
      <c r="C218" s="28"/>
      <c r="D218" s="29"/>
      <c r="E218" s="30"/>
      <c r="F218" s="30"/>
      <c r="G218" s="30"/>
      <c r="H218" s="30"/>
      <c r="I218" s="30"/>
      <c r="J218" s="30"/>
      <c r="K218" s="28"/>
    </row>
    <row r="219" spans="1:11">
      <c r="A219" s="28"/>
      <c r="B219" s="28"/>
      <c r="C219" s="28"/>
      <c r="D219" s="29"/>
      <c r="E219" s="30"/>
      <c r="F219" s="30"/>
      <c r="G219" s="30"/>
      <c r="H219" s="30"/>
      <c r="I219" s="30"/>
      <c r="J219" s="30"/>
      <c r="K219" s="28"/>
    </row>
    <row r="220" spans="1:11">
      <c r="A220" s="28"/>
      <c r="B220" s="28"/>
      <c r="C220" s="28"/>
      <c r="D220" s="29"/>
      <c r="E220" s="30"/>
      <c r="F220" s="30"/>
      <c r="G220" s="30"/>
      <c r="H220" s="30"/>
      <c r="I220" s="30"/>
      <c r="J220" s="30"/>
      <c r="K220" s="28"/>
    </row>
    <row r="221" spans="1:11">
      <c r="A221" s="28"/>
      <c r="B221" s="28"/>
      <c r="C221" s="28"/>
      <c r="D221" s="29"/>
      <c r="E221" s="30"/>
      <c r="F221" s="30"/>
      <c r="G221" s="30"/>
      <c r="H221" s="30"/>
      <c r="I221" s="30"/>
      <c r="J221" s="30"/>
      <c r="K221" s="28"/>
    </row>
    <row r="222" spans="1:11">
      <c r="A222" s="28"/>
      <c r="B222" s="28"/>
      <c r="C222" s="31"/>
      <c r="D222" s="29"/>
      <c r="E222" s="30"/>
      <c r="F222" s="30"/>
      <c r="G222" s="30"/>
      <c r="H222" s="30"/>
      <c r="I222" s="30"/>
      <c r="J222" s="30"/>
      <c r="K222" s="28"/>
    </row>
    <row r="223" spans="1:11">
      <c r="A223" s="28"/>
      <c r="B223" s="28"/>
      <c r="C223" s="28"/>
      <c r="D223" s="29"/>
      <c r="E223" s="30"/>
      <c r="F223" s="30"/>
      <c r="G223" s="30"/>
      <c r="H223" s="30"/>
      <c r="I223" s="30"/>
      <c r="J223" s="30"/>
      <c r="K223" s="28"/>
    </row>
    <row r="224" spans="1:11">
      <c r="A224" s="28"/>
      <c r="B224" s="28"/>
      <c r="C224" s="28"/>
      <c r="D224" s="29"/>
      <c r="E224" s="30"/>
      <c r="F224" s="30"/>
      <c r="G224" s="30"/>
      <c r="H224" s="30"/>
      <c r="I224" s="30"/>
      <c r="J224" s="30"/>
      <c r="K224" s="28"/>
    </row>
    <row r="225" spans="1:11">
      <c r="A225" s="28"/>
      <c r="B225" s="28"/>
      <c r="C225" s="28"/>
      <c r="D225" s="29"/>
      <c r="E225" s="30"/>
      <c r="F225" s="30"/>
      <c r="G225" s="30"/>
      <c r="H225" s="30"/>
      <c r="I225" s="30"/>
      <c r="J225" s="30"/>
      <c r="K225" s="28"/>
    </row>
    <row r="226" spans="1:11">
      <c r="A226" s="28"/>
      <c r="B226" s="28"/>
      <c r="C226" s="28"/>
      <c r="D226" s="29"/>
      <c r="E226" s="30"/>
      <c r="F226" s="30"/>
      <c r="G226" s="30"/>
      <c r="H226" s="30"/>
      <c r="I226" s="30"/>
      <c r="J226" s="30"/>
      <c r="K226" s="28"/>
    </row>
    <row r="227" spans="1:11">
      <c r="A227" s="28"/>
      <c r="B227" s="28"/>
      <c r="C227" s="28"/>
      <c r="D227" s="29"/>
      <c r="E227" s="30"/>
      <c r="F227" s="30"/>
      <c r="G227" s="30"/>
      <c r="H227" s="30"/>
      <c r="I227" s="30"/>
      <c r="J227" s="30"/>
      <c r="K227" s="28"/>
    </row>
    <row r="228" spans="1:11">
      <c r="A228" s="42"/>
      <c r="B228" s="42"/>
      <c r="C228" s="12"/>
      <c r="D228"/>
      <c r="G228" s="27"/>
    </row>
    <row r="229" spans="1:11">
      <c r="A229" s="42"/>
      <c r="B229" s="42"/>
      <c r="C229" s="12"/>
      <c r="D229"/>
    </row>
    <row r="230" spans="1:11">
      <c r="A230" s="1"/>
      <c r="B230" s="1"/>
      <c r="D230"/>
    </row>
  </sheetData>
  <mergeCells count="48">
    <mergeCell ref="A22:I22"/>
    <mergeCell ref="A1:K1"/>
    <mergeCell ref="D5:G5"/>
    <mergeCell ref="D7:G7"/>
    <mergeCell ref="A9:A10"/>
    <mergeCell ref="B9:B10"/>
    <mergeCell ref="C9:C10"/>
    <mergeCell ref="D9:D10"/>
    <mergeCell ref="E9:E10"/>
    <mergeCell ref="F9:G9"/>
    <mergeCell ref="H9:I9"/>
    <mergeCell ref="L9:O9"/>
    <mergeCell ref="P9:T9"/>
    <mergeCell ref="B11:K11"/>
    <mergeCell ref="A14:I14"/>
    <mergeCell ref="B15:K15"/>
    <mergeCell ref="A84:I84"/>
    <mergeCell ref="B23:K23"/>
    <mergeCell ref="A35:I35"/>
    <mergeCell ref="B36:K36"/>
    <mergeCell ref="A52:I52"/>
    <mergeCell ref="B53:K53"/>
    <mergeCell ref="A57:I57"/>
    <mergeCell ref="B58:K58"/>
    <mergeCell ref="A66:I66"/>
    <mergeCell ref="B67:K67"/>
    <mergeCell ref="A73:I73"/>
    <mergeCell ref="B74:K74"/>
    <mergeCell ref="A142:I142"/>
    <mergeCell ref="B85:K85"/>
    <mergeCell ref="A93:I93"/>
    <mergeCell ref="B94:K94"/>
    <mergeCell ref="A118:I118"/>
    <mergeCell ref="B119:K119"/>
    <mergeCell ref="A121:I121"/>
    <mergeCell ref="B122:K122"/>
    <mergeCell ref="A125:I125"/>
    <mergeCell ref="B126:K126"/>
    <mergeCell ref="A137:I137"/>
    <mergeCell ref="B138:K138"/>
    <mergeCell ref="C156:K156"/>
    <mergeCell ref="A157:I157"/>
    <mergeCell ref="B143:K143"/>
    <mergeCell ref="A149:I149"/>
    <mergeCell ref="B150:K150"/>
    <mergeCell ref="A152:I152"/>
    <mergeCell ref="B153:K153"/>
    <mergeCell ref="A155:I155"/>
  </mergeCells>
  <pageMargins left="0.51181102362204722" right="0.51181102362204722" top="0.78740157480314965" bottom="0.78740157480314965" header="0.31496062992125984" footer="0.31496062992125984"/>
  <pageSetup paperSize="9" scale="71" fitToHeight="10" orientation="landscape" r:id="rId1"/>
  <headerFooter>
    <oddFooter>&amp;LISOLAMENTO&amp;CPágina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67"/>
  <sheetViews>
    <sheetView zoomScale="90" zoomScaleNormal="90" workbookViewId="0">
      <selection activeCell="A11" sqref="A11:XFD11"/>
    </sheetView>
  </sheetViews>
  <sheetFormatPr defaultRowHeight="15"/>
  <cols>
    <col min="1" max="1" width="5.7109375" style="2" customWidth="1"/>
    <col min="2" max="2" width="11.28515625" style="2" customWidth="1"/>
    <col min="3" max="3" width="63.7109375" customWidth="1"/>
    <col min="4" max="4" width="9.140625" style="1"/>
    <col min="5" max="5" width="10.7109375" style="27" customWidth="1"/>
    <col min="6" max="9" width="15.7109375" customWidth="1"/>
    <col min="10" max="11" width="13.140625" customWidth="1"/>
    <col min="12" max="12" width="9.42578125" bestFit="1" customWidth="1"/>
    <col min="14" max="14" width="12.5703125" customWidth="1"/>
    <col min="19" max="19" width="12.85546875" customWidth="1"/>
  </cols>
  <sheetData>
    <row r="1" spans="1:20" s="12" customFormat="1" ht="18.75">
      <c r="A1" s="490" t="s">
        <v>30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20">
      <c r="D2" s="3"/>
      <c r="E2" s="44"/>
      <c r="F2" s="1"/>
      <c r="G2" s="1"/>
      <c r="H2" s="1"/>
    </row>
    <row r="3" spans="1:20" ht="18.75">
      <c r="D3" s="51" t="s">
        <v>546</v>
      </c>
      <c r="E3" s="52"/>
      <c r="F3" s="52"/>
      <c r="G3" s="52"/>
      <c r="H3" s="6"/>
      <c r="J3" s="19"/>
      <c r="K3" s="17"/>
    </row>
    <row r="4" spans="1:20">
      <c r="D4" s="66" t="s">
        <v>511</v>
      </c>
      <c r="E4" s="67"/>
      <c r="F4" s="65"/>
      <c r="G4" s="65"/>
      <c r="H4" s="7"/>
      <c r="J4" s="18"/>
      <c r="K4" s="17"/>
    </row>
    <row r="5" spans="1:20">
      <c r="D5" s="491" t="s">
        <v>735</v>
      </c>
      <c r="E5" s="491"/>
      <c r="F5" s="491"/>
      <c r="G5" s="491"/>
      <c r="H5" s="7"/>
      <c r="J5" s="18"/>
      <c r="K5" s="17"/>
    </row>
    <row r="6" spans="1:20">
      <c r="D6" s="55" t="s">
        <v>729</v>
      </c>
      <c r="E6" s="55"/>
      <c r="F6" s="55"/>
      <c r="G6" s="55"/>
      <c r="H6" s="7"/>
      <c r="J6" s="18"/>
      <c r="K6" s="17"/>
    </row>
    <row r="7" spans="1:20">
      <c r="D7" s="491" t="s">
        <v>661</v>
      </c>
      <c r="E7" s="491"/>
      <c r="F7" s="491"/>
      <c r="G7" s="491"/>
      <c r="H7" s="7"/>
      <c r="J7" s="18"/>
      <c r="K7" s="17"/>
    </row>
    <row r="8" spans="1:20">
      <c r="J8" s="17"/>
      <c r="K8" s="17"/>
    </row>
    <row r="9" spans="1:20" s="12" customFormat="1">
      <c r="A9" s="471" t="s">
        <v>0</v>
      </c>
      <c r="B9" s="471" t="s">
        <v>125</v>
      </c>
      <c r="C9" s="471" t="s">
        <v>1</v>
      </c>
      <c r="D9" s="471" t="s">
        <v>2</v>
      </c>
      <c r="E9" s="500" t="s">
        <v>3</v>
      </c>
      <c r="F9" s="504" t="s">
        <v>22</v>
      </c>
      <c r="G9" s="505"/>
      <c r="H9" s="502" t="s">
        <v>23</v>
      </c>
      <c r="I9" s="503"/>
      <c r="J9" s="9" t="s">
        <v>19</v>
      </c>
      <c r="K9" s="16" t="s">
        <v>668</v>
      </c>
      <c r="L9" s="499"/>
      <c r="M9" s="499"/>
      <c r="N9" s="499"/>
      <c r="O9" s="499"/>
      <c r="P9" s="498"/>
      <c r="Q9" s="498"/>
      <c r="R9" s="498"/>
      <c r="S9" s="498"/>
      <c r="T9" s="498"/>
    </row>
    <row r="10" spans="1:20">
      <c r="A10" s="472"/>
      <c r="B10" s="472"/>
      <c r="C10" s="472"/>
      <c r="D10" s="472"/>
      <c r="E10" s="501"/>
      <c r="F10" s="244" t="s">
        <v>20</v>
      </c>
      <c r="G10" s="10" t="s">
        <v>21</v>
      </c>
      <c r="H10" s="10" t="s">
        <v>20</v>
      </c>
      <c r="I10" s="10" t="s">
        <v>21</v>
      </c>
      <c r="J10" s="10" t="s">
        <v>667</v>
      </c>
      <c r="K10" s="37">
        <f>E4</f>
        <v>0</v>
      </c>
      <c r="L10" s="14"/>
      <c r="M10" s="15"/>
      <c r="N10" s="15"/>
      <c r="O10" s="15"/>
      <c r="P10" s="14"/>
      <c r="Q10" s="14"/>
      <c r="R10" s="15"/>
      <c r="S10" s="15"/>
      <c r="T10" s="14"/>
    </row>
    <row r="11" spans="1:20">
      <c r="A11" s="60" t="s">
        <v>4</v>
      </c>
      <c r="B11" s="458" t="s">
        <v>24</v>
      </c>
      <c r="C11" s="459"/>
      <c r="D11" s="459"/>
      <c r="E11" s="459"/>
      <c r="F11" s="459"/>
      <c r="G11" s="459"/>
      <c r="H11" s="459"/>
      <c r="I11" s="459"/>
      <c r="J11" s="459"/>
      <c r="K11" s="473"/>
      <c r="L11" s="11"/>
      <c r="M11" s="11"/>
      <c r="N11" s="11"/>
      <c r="O11" s="11"/>
      <c r="P11" s="11"/>
      <c r="Q11" s="11"/>
      <c r="R11" s="11"/>
      <c r="S11" s="11"/>
      <c r="T11" s="11"/>
    </row>
    <row r="12" spans="1:20" s="53" customFormat="1">
      <c r="A12" s="48" t="s">
        <v>8</v>
      </c>
      <c r="B12" s="84">
        <v>73672</v>
      </c>
      <c r="C12" s="49" t="s">
        <v>163</v>
      </c>
      <c r="D12" s="50" t="s">
        <v>29</v>
      </c>
      <c r="E12" s="47">
        <v>324</v>
      </c>
      <c r="F12" s="47"/>
      <c r="G12" s="47"/>
      <c r="H12" s="47"/>
      <c r="I12" s="47"/>
      <c r="J12" s="47"/>
      <c r="K12" s="47"/>
      <c r="L12" s="11"/>
      <c r="M12" s="11"/>
      <c r="N12" s="11"/>
      <c r="O12" s="11"/>
      <c r="P12" s="11"/>
      <c r="Q12" s="11"/>
      <c r="R12" s="11"/>
      <c r="S12" s="11"/>
      <c r="T12" s="11"/>
    </row>
    <row r="13" spans="1:20" s="53" customFormat="1" ht="24.75">
      <c r="A13" s="48" t="s">
        <v>9</v>
      </c>
      <c r="B13" s="195" t="s">
        <v>176</v>
      </c>
      <c r="C13" s="58" t="s">
        <v>177</v>
      </c>
      <c r="D13" s="50" t="s">
        <v>29</v>
      </c>
      <c r="E13" s="47">
        <v>55.08</v>
      </c>
      <c r="F13" s="47"/>
      <c r="G13" s="47"/>
      <c r="H13" s="47"/>
      <c r="I13" s="47"/>
      <c r="J13" s="47"/>
      <c r="K13" s="47"/>
      <c r="L13" s="11"/>
      <c r="M13" s="11"/>
      <c r="N13" s="11"/>
      <c r="O13" s="11"/>
      <c r="P13" s="11"/>
      <c r="Q13" s="11"/>
      <c r="R13" s="11"/>
      <c r="S13" s="11"/>
      <c r="T13" s="11"/>
    </row>
    <row r="14" spans="1:20">
      <c r="A14" s="494" t="s">
        <v>15</v>
      </c>
      <c r="B14" s="494"/>
      <c r="C14" s="495"/>
      <c r="D14" s="495"/>
      <c r="E14" s="495"/>
      <c r="F14" s="495"/>
      <c r="G14" s="495"/>
      <c r="H14" s="495"/>
      <c r="I14" s="495"/>
      <c r="J14" s="22"/>
      <c r="K14" s="38"/>
      <c r="L14" s="11"/>
      <c r="M14" s="11"/>
      <c r="N14" s="11"/>
      <c r="O14" s="11"/>
      <c r="P14" s="11"/>
      <c r="Q14" s="11"/>
      <c r="R14" s="11"/>
      <c r="S14" s="11"/>
      <c r="T14" s="11"/>
    </row>
    <row r="15" spans="1:20">
      <c r="A15" s="60" t="s">
        <v>5</v>
      </c>
      <c r="B15" s="458" t="s">
        <v>103</v>
      </c>
      <c r="C15" s="459"/>
      <c r="D15" s="459"/>
      <c r="E15" s="459"/>
      <c r="F15" s="459"/>
      <c r="G15" s="459"/>
      <c r="H15" s="459"/>
      <c r="I15" s="459"/>
      <c r="J15" s="459"/>
      <c r="K15" s="473"/>
      <c r="L15" s="11"/>
      <c r="M15" s="11"/>
      <c r="N15" s="11"/>
      <c r="O15" s="11"/>
      <c r="P15" s="11"/>
      <c r="Q15" s="11"/>
      <c r="R15" s="11"/>
      <c r="S15" s="11"/>
      <c r="T15" s="11"/>
    </row>
    <row r="16" spans="1:20" s="91" customFormat="1">
      <c r="A16" s="137" t="s">
        <v>10</v>
      </c>
      <c r="B16" s="212" t="s">
        <v>178</v>
      </c>
      <c r="C16" s="247" t="s">
        <v>179</v>
      </c>
      <c r="D16" s="213" t="s">
        <v>47</v>
      </c>
      <c r="E16" s="54">
        <f>E12*1.5</f>
        <v>486</v>
      </c>
      <c r="F16" s="54"/>
      <c r="G16" s="54"/>
      <c r="H16" s="54"/>
      <c r="I16" s="54"/>
      <c r="J16" s="54"/>
      <c r="K16" s="54"/>
      <c r="L16" s="90"/>
      <c r="M16" s="90"/>
      <c r="N16" s="90"/>
      <c r="O16" s="90"/>
      <c r="P16" s="90"/>
      <c r="Q16" s="90"/>
      <c r="R16" s="90"/>
      <c r="S16" s="90"/>
      <c r="T16" s="90"/>
    </row>
    <row r="17" spans="1:22" s="91" customFormat="1">
      <c r="A17" s="137" t="s">
        <v>11</v>
      </c>
      <c r="B17" s="169" t="s">
        <v>493</v>
      </c>
      <c r="C17" s="232" t="s">
        <v>494</v>
      </c>
      <c r="D17" s="165" t="s">
        <v>29</v>
      </c>
      <c r="E17" s="117">
        <f>E12/3</f>
        <v>108</v>
      </c>
      <c r="F17" s="117"/>
      <c r="G17" s="117"/>
      <c r="H17" s="117"/>
      <c r="I17" s="117"/>
      <c r="J17" s="117"/>
      <c r="K17" s="54"/>
      <c r="L17" s="90"/>
      <c r="M17" s="90"/>
      <c r="N17" s="90"/>
      <c r="O17" s="90"/>
      <c r="P17" s="90"/>
      <c r="Q17" s="90"/>
      <c r="R17" s="90"/>
      <c r="S17" s="90"/>
      <c r="T17" s="90"/>
    </row>
    <row r="18" spans="1:22" s="155" customFormat="1" ht="14.25">
      <c r="A18" s="137" t="s">
        <v>442</v>
      </c>
      <c r="B18" s="170">
        <v>6430</v>
      </c>
      <c r="C18" s="232" t="s">
        <v>341</v>
      </c>
      <c r="D18" s="165" t="s">
        <v>47</v>
      </c>
      <c r="E18" s="117">
        <v>9.83</v>
      </c>
      <c r="F18" s="117"/>
      <c r="G18" s="117"/>
      <c r="H18" s="117"/>
      <c r="I18" s="117"/>
      <c r="J18" s="117"/>
      <c r="K18" s="54"/>
      <c r="L18" s="114"/>
      <c r="M18" s="114"/>
      <c r="N18" s="114"/>
      <c r="O18" s="114"/>
      <c r="P18" s="114"/>
      <c r="Q18" s="114"/>
      <c r="R18" s="114"/>
      <c r="S18" s="114"/>
      <c r="T18" s="114"/>
    </row>
    <row r="19" spans="1:22">
      <c r="A19" s="562" t="s">
        <v>16</v>
      </c>
      <c r="B19" s="562"/>
      <c r="C19" s="563"/>
      <c r="D19" s="563"/>
      <c r="E19" s="563"/>
      <c r="F19" s="563"/>
      <c r="G19" s="563"/>
      <c r="H19" s="563"/>
      <c r="I19" s="563"/>
      <c r="J19" s="22"/>
      <c r="K19" s="39"/>
      <c r="L19" s="11"/>
      <c r="M19" s="11"/>
      <c r="N19" s="11"/>
      <c r="O19" s="11"/>
      <c r="P19" s="11"/>
      <c r="Q19" s="11"/>
      <c r="R19" s="11"/>
      <c r="S19" s="11"/>
      <c r="T19" s="11"/>
    </row>
    <row r="20" spans="1:22">
      <c r="A20" s="60" t="s">
        <v>105</v>
      </c>
      <c r="B20" s="458" t="s">
        <v>106</v>
      </c>
      <c r="C20" s="459"/>
      <c r="D20" s="459"/>
      <c r="E20" s="459"/>
      <c r="F20" s="459"/>
      <c r="G20" s="459"/>
      <c r="H20" s="459"/>
      <c r="I20" s="459"/>
      <c r="J20" s="459"/>
      <c r="K20" s="473"/>
      <c r="L20" s="11"/>
      <c r="M20" s="11"/>
      <c r="N20" s="11"/>
      <c r="O20" s="11"/>
      <c r="P20" s="11"/>
      <c r="Q20" s="11"/>
      <c r="R20" s="11"/>
      <c r="S20" s="11"/>
      <c r="T20" s="11"/>
    </row>
    <row r="21" spans="1:22" s="53" customFormat="1">
      <c r="A21" s="48" t="s">
        <v>12</v>
      </c>
      <c r="B21" s="48"/>
      <c r="C21" s="234" t="s">
        <v>287</v>
      </c>
      <c r="D21" s="173" t="s">
        <v>29</v>
      </c>
      <c r="E21" s="172">
        <f>(5.4+5.4+10.2+10.2)*0.75</f>
        <v>23.4</v>
      </c>
      <c r="F21" s="172"/>
      <c r="G21" s="172"/>
      <c r="H21" s="172"/>
      <c r="I21" s="172"/>
      <c r="J21" s="172"/>
      <c r="K21" s="172"/>
      <c r="L21" s="11"/>
      <c r="M21" s="11"/>
      <c r="N21" s="11"/>
      <c r="O21" s="11"/>
      <c r="P21" s="11"/>
      <c r="Q21" s="11"/>
      <c r="R21" s="11"/>
      <c r="S21" s="11"/>
      <c r="T21" s="11"/>
    </row>
    <row r="22" spans="1:22" s="53" customFormat="1">
      <c r="A22" s="48" t="s">
        <v>13</v>
      </c>
      <c r="B22" s="125" t="s">
        <v>904</v>
      </c>
      <c r="C22" s="234" t="s">
        <v>871</v>
      </c>
      <c r="D22" s="173" t="s">
        <v>47</v>
      </c>
      <c r="E22" s="172">
        <v>2.8</v>
      </c>
      <c r="F22" s="172"/>
      <c r="G22" s="172"/>
      <c r="H22" s="172"/>
      <c r="I22" s="172"/>
      <c r="J22" s="172"/>
      <c r="K22" s="172"/>
      <c r="L22" s="11"/>
      <c r="M22" s="11"/>
      <c r="N22" s="11"/>
      <c r="O22" s="11"/>
      <c r="P22" s="11"/>
      <c r="Q22" s="11"/>
      <c r="R22" s="11"/>
      <c r="S22" s="11"/>
      <c r="T22" s="11"/>
    </row>
    <row r="23" spans="1:22" s="53" customFormat="1">
      <c r="A23" s="48" t="s">
        <v>285</v>
      </c>
      <c r="B23" s="125" t="s">
        <v>905</v>
      </c>
      <c r="C23" s="234" t="s">
        <v>872</v>
      </c>
      <c r="D23" s="173" t="s">
        <v>47</v>
      </c>
      <c r="E23" s="172">
        <v>2.8</v>
      </c>
      <c r="F23" s="172"/>
      <c r="G23" s="172"/>
      <c r="H23" s="172"/>
      <c r="I23" s="172"/>
      <c r="J23" s="172"/>
      <c r="K23" s="172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53" customFormat="1">
      <c r="A24" s="48" t="s">
        <v>286</v>
      </c>
      <c r="B24" s="125"/>
      <c r="C24" s="234" t="s">
        <v>873</v>
      </c>
      <c r="D24" s="173" t="s">
        <v>47</v>
      </c>
      <c r="E24" s="172">
        <v>0.46</v>
      </c>
      <c r="F24" s="172"/>
      <c r="G24" s="172"/>
      <c r="H24" s="172"/>
      <c r="I24" s="172"/>
      <c r="J24" s="172"/>
      <c r="K24" s="172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53" customFormat="1">
      <c r="A25" s="48" t="s">
        <v>288</v>
      </c>
      <c r="B25" s="125"/>
      <c r="C25" s="234" t="s">
        <v>874</v>
      </c>
      <c r="D25" s="173" t="s">
        <v>47</v>
      </c>
      <c r="E25" s="172">
        <v>6.72</v>
      </c>
      <c r="F25" s="172"/>
      <c r="G25" s="172"/>
      <c r="H25" s="172"/>
      <c r="I25" s="172"/>
      <c r="J25" s="172"/>
      <c r="K25" s="172"/>
      <c r="L25" s="11"/>
      <c r="M25" s="11"/>
      <c r="N25" s="11"/>
      <c r="O25" s="11"/>
      <c r="P25" s="11"/>
      <c r="Q25" s="11"/>
      <c r="R25" s="11"/>
      <c r="S25" s="11"/>
      <c r="T25" s="11"/>
    </row>
    <row r="26" spans="1:22" s="53" customFormat="1">
      <c r="A26" s="48" t="s">
        <v>450</v>
      </c>
      <c r="B26" s="125" t="s">
        <v>905</v>
      </c>
      <c r="C26" s="234" t="s">
        <v>875</v>
      </c>
      <c r="D26" s="173" t="s">
        <v>47</v>
      </c>
      <c r="E26" s="172">
        <v>6.72</v>
      </c>
      <c r="F26" s="172"/>
      <c r="G26" s="172"/>
      <c r="H26" s="172"/>
      <c r="I26" s="172"/>
      <c r="J26" s="172"/>
      <c r="K26" s="172"/>
      <c r="L26" s="11"/>
      <c r="M26" s="11"/>
      <c r="N26" s="11"/>
      <c r="O26" s="11"/>
      <c r="P26" s="11"/>
      <c r="Q26" s="11"/>
      <c r="R26" s="11"/>
      <c r="S26" s="11"/>
      <c r="T26" s="11"/>
    </row>
    <row r="27" spans="1:22" s="53" customFormat="1">
      <c r="A27" s="48" t="s">
        <v>451</v>
      </c>
      <c r="B27" s="125"/>
      <c r="C27" s="234" t="s">
        <v>876</v>
      </c>
      <c r="D27" s="173" t="s">
        <v>29</v>
      </c>
      <c r="E27" s="172">
        <v>6.4</v>
      </c>
      <c r="F27" s="172"/>
      <c r="G27" s="172"/>
      <c r="H27" s="172"/>
      <c r="I27" s="172"/>
      <c r="J27" s="172"/>
      <c r="K27" s="172"/>
      <c r="L27" s="11"/>
      <c r="M27" s="11"/>
      <c r="N27" s="11"/>
      <c r="O27" s="11"/>
      <c r="P27" s="11"/>
      <c r="Q27" s="11"/>
      <c r="R27" s="11"/>
      <c r="S27" s="11"/>
      <c r="T27" s="11"/>
    </row>
    <row r="28" spans="1:22" s="53" customFormat="1" ht="24">
      <c r="A28" s="48" t="s">
        <v>452</v>
      </c>
      <c r="B28" s="415" t="s">
        <v>907</v>
      </c>
      <c r="C28" s="416" t="s">
        <v>877</v>
      </c>
      <c r="D28" s="173" t="s">
        <v>890</v>
      </c>
      <c r="E28" s="172">
        <v>114.4</v>
      </c>
      <c r="F28" s="172"/>
      <c r="G28" s="172"/>
      <c r="H28" s="172"/>
      <c r="I28" s="172"/>
      <c r="J28" s="172"/>
      <c r="K28" s="172"/>
      <c r="L28" s="11"/>
      <c r="M28" s="11"/>
      <c r="N28" s="11"/>
      <c r="O28" s="11"/>
      <c r="P28" s="11"/>
      <c r="Q28" s="11"/>
      <c r="R28" s="11"/>
      <c r="S28" s="11"/>
      <c r="T28" s="11"/>
    </row>
    <row r="29" spans="1:22">
      <c r="A29" s="479" t="s">
        <v>17</v>
      </c>
      <c r="B29" s="480"/>
      <c r="C29" s="480"/>
      <c r="D29" s="480"/>
      <c r="E29" s="480"/>
      <c r="F29" s="480"/>
      <c r="G29" s="480"/>
      <c r="H29" s="480"/>
      <c r="I29" s="481"/>
      <c r="J29" s="22"/>
      <c r="K29" s="22"/>
      <c r="L29" s="77"/>
      <c r="M29" s="11"/>
      <c r="N29" s="11"/>
      <c r="O29" s="11"/>
      <c r="P29" s="11"/>
      <c r="Q29" s="11"/>
      <c r="R29" s="11"/>
      <c r="S29" s="11"/>
      <c r="T29" s="11"/>
    </row>
    <row r="30" spans="1:22" s="74" customFormat="1">
      <c r="A30" s="70" t="s">
        <v>33</v>
      </c>
      <c r="B30" s="477" t="s">
        <v>107</v>
      </c>
      <c r="C30" s="478"/>
      <c r="D30" s="478"/>
      <c r="E30" s="478"/>
      <c r="F30" s="478"/>
      <c r="G30" s="478"/>
      <c r="H30" s="478"/>
      <c r="I30" s="478"/>
      <c r="J30" s="478"/>
      <c r="K30" s="478"/>
      <c r="L30" s="78"/>
      <c r="M30" s="73"/>
      <c r="N30" s="73"/>
      <c r="O30" s="73"/>
      <c r="P30" s="73"/>
      <c r="Q30" s="73"/>
      <c r="R30" s="73"/>
      <c r="S30" s="73"/>
      <c r="T30" s="73"/>
      <c r="U30" s="73"/>
      <c r="V30" s="73"/>
    </row>
    <row r="31" spans="1:22" s="81" customFormat="1" ht="24.75">
      <c r="A31" s="70" t="s">
        <v>34</v>
      </c>
      <c r="B31" s="414"/>
      <c r="C31" s="418" t="s">
        <v>878</v>
      </c>
      <c r="D31" s="334" t="s">
        <v>29</v>
      </c>
      <c r="E31" s="417">
        <v>32.799999999999997</v>
      </c>
      <c r="F31" s="408"/>
      <c r="G31" s="408"/>
      <c r="H31" s="408"/>
      <c r="I31" s="408"/>
      <c r="J31" s="409"/>
      <c r="K31" s="410"/>
      <c r="L31" s="78"/>
      <c r="M31" s="73"/>
      <c r="N31" s="73"/>
      <c r="O31" s="73"/>
      <c r="P31" s="73"/>
      <c r="Q31" s="73"/>
      <c r="R31" s="73"/>
      <c r="S31" s="73"/>
      <c r="T31" s="73"/>
      <c r="U31" s="73"/>
      <c r="V31" s="73"/>
    </row>
    <row r="32" spans="1:22" s="81" customFormat="1" ht="24.75">
      <c r="A32" s="70" t="s">
        <v>108</v>
      </c>
      <c r="B32" s="414"/>
      <c r="C32" s="418" t="s">
        <v>879</v>
      </c>
      <c r="D32" s="334" t="s">
        <v>29</v>
      </c>
      <c r="E32" s="417">
        <v>41.6</v>
      </c>
      <c r="F32" s="408"/>
      <c r="G32" s="408"/>
      <c r="H32" s="408"/>
      <c r="I32" s="408"/>
      <c r="J32" s="409"/>
      <c r="K32" s="410"/>
      <c r="L32" s="78"/>
      <c r="M32" s="73"/>
      <c r="N32" s="73"/>
      <c r="O32" s="73"/>
      <c r="P32" s="73"/>
      <c r="Q32" s="73"/>
      <c r="R32" s="73"/>
      <c r="S32" s="73"/>
      <c r="T32" s="73"/>
      <c r="U32" s="73"/>
      <c r="V32" s="73"/>
    </row>
    <row r="33" spans="1:22" s="81" customFormat="1">
      <c r="A33" s="70" t="s">
        <v>35</v>
      </c>
      <c r="B33" s="125" t="s">
        <v>904</v>
      </c>
      <c r="C33" s="333" t="s">
        <v>880</v>
      </c>
      <c r="D33" s="334" t="s">
        <v>47</v>
      </c>
      <c r="E33" s="417">
        <v>2.1</v>
      </c>
      <c r="F33" s="408"/>
      <c r="G33" s="408"/>
      <c r="H33" s="408"/>
      <c r="I33" s="408"/>
      <c r="J33" s="409"/>
      <c r="K33" s="410"/>
      <c r="L33" s="78"/>
      <c r="M33" s="73"/>
      <c r="N33" s="73"/>
      <c r="O33" s="73"/>
      <c r="P33" s="73"/>
      <c r="Q33" s="73"/>
      <c r="R33" s="73"/>
      <c r="S33" s="73"/>
      <c r="T33" s="73"/>
      <c r="U33" s="73"/>
      <c r="V33" s="73"/>
    </row>
    <row r="34" spans="1:22" s="81" customFormat="1">
      <c r="A34" s="70" t="s">
        <v>36</v>
      </c>
      <c r="B34" s="414" t="s">
        <v>906</v>
      </c>
      <c r="C34" s="333" t="s">
        <v>881</v>
      </c>
      <c r="D34" s="334" t="s">
        <v>47</v>
      </c>
      <c r="E34" s="417">
        <v>2.1</v>
      </c>
      <c r="F34" s="408"/>
      <c r="G34" s="408"/>
      <c r="H34" s="408"/>
      <c r="I34" s="408"/>
      <c r="J34" s="409"/>
      <c r="K34" s="410"/>
      <c r="L34" s="78"/>
      <c r="M34" s="73"/>
      <c r="N34" s="73"/>
      <c r="O34" s="73"/>
      <c r="P34" s="73"/>
      <c r="Q34" s="73"/>
      <c r="R34" s="73"/>
      <c r="S34" s="73"/>
      <c r="T34" s="73"/>
      <c r="U34" s="73"/>
      <c r="V34" s="73"/>
    </row>
    <row r="35" spans="1:22" s="81" customFormat="1">
      <c r="A35" s="70" t="s">
        <v>37</v>
      </c>
      <c r="B35" s="125" t="s">
        <v>904</v>
      </c>
      <c r="C35" s="333" t="s">
        <v>882</v>
      </c>
      <c r="D35" s="334" t="s">
        <v>47</v>
      </c>
      <c r="E35" s="417">
        <v>2.2000000000000002</v>
      </c>
      <c r="F35" s="408"/>
      <c r="G35" s="408"/>
      <c r="H35" s="408"/>
      <c r="I35" s="408"/>
      <c r="J35" s="409"/>
      <c r="K35" s="410"/>
      <c r="L35" s="78"/>
      <c r="M35" s="73"/>
      <c r="N35" s="73"/>
      <c r="O35" s="73"/>
      <c r="P35" s="73"/>
      <c r="Q35" s="73"/>
      <c r="R35" s="73"/>
      <c r="S35" s="73"/>
      <c r="T35" s="73"/>
      <c r="U35" s="73"/>
      <c r="V35" s="73"/>
    </row>
    <row r="36" spans="1:22" s="81" customFormat="1">
      <c r="A36" s="70" t="s">
        <v>454</v>
      </c>
      <c r="B36" s="414" t="s">
        <v>906</v>
      </c>
      <c r="C36" s="333" t="s">
        <v>883</v>
      </c>
      <c r="D36" s="334" t="s">
        <v>47</v>
      </c>
      <c r="E36" s="417">
        <v>2.2000000000000002</v>
      </c>
      <c r="F36" s="408"/>
      <c r="G36" s="408"/>
      <c r="H36" s="408"/>
      <c r="I36" s="408"/>
      <c r="J36" s="409"/>
      <c r="K36" s="410"/>
      <c r="L36" s="78"/>
      <c r="M36" s="73"/>
      <c r="N36" s="73"/>
      <c r="O36" s="73"/>
      <c r="P36" s="73"/>
      <c r="Q36" s="73"/>
      <c r="R36" s="73"/>
      <c r="S36" s="73"/>
      <c r="T36" s="73"/>
      <c r="U36" s="73"/>
      <c r="V36" s="73"/>
    </row>
    <row r="37" spans="1:22" s="81" customFormat="1" ht="24">
      <c r="A37" s="70" t="s">
        <v>455</v>
      </c>
      <c r="B37" s="415" t="s">
        <v>907</v>
      </c>
      <c r="C37" s="333" t="s">
        <v>884</v>
      </c>
      <c r="D37" s="334" t="s">
        <v>890</v>
      </c>
      <c r="E37" s="417">
        <v>128.19999999999999</v>
      </c>
      <c r="F37" s="408"/>
      <c r="G37" s="408"/>
      <c r="H37" s="408"/>
      <c r="I37" s="408"/>
      <c r="J37" s="409"/>
      <c r="K37" s="410"/>
      <c r="L37" s="78"/>
      <c r="M37" s="73"/>
      <c r="N37" s="73"/>
      <c r="O37" s="73"/>
      <c r="P37" s="73"/>
      <c r="Q37" s="73"/>
      <c r="R37" s="73"/>
      <c r="S37" s="73"/>
      <c r="T37" s="73"/>
      <c r="U37" s="73"/>
      <c r="V37" s="73"/>
    </row>
    <row r="38" spans="1:22" s="81" customFormat="1">
      <c r="A38" s="70" t="s">
        <v>456</v>
      </c>
      <c r="B38" s="125" t="s">
        <v>832</v>
      </c>
      <c r="C38" s="333" t="s">
        <v>885</v>
      </c>
      <c r="D38" s="334" t="s">
        <v>890</v>
      </c>
      <c r="E38" s="417">
        <v>49.5</v>
      </c>
      <c r="F38" s="408"/>
      <c r="G38" s="408"/>
      <c r="H38" s="408"/>
      <c r="I38" s="408"/>
      <c r="J38" s="409"/>
      <c r="K38" s="410"/>
      <c r="L38" s="78"/>
      <c r="M38" s="73"/>
      <c r="N38" s="73"/>
      <c r="O38" s="73"/>
      <c r="P38" s="73"/>
      <c r="Q38" s="73"/>
      <c r="R38" s="73"/>
      <c r="S38" s="73"/>
      <c r="T38" s="73"/>
      <c r="U38" s="73"/>
      <c r="V38" s="73"/>
    </row>
    <row r="39" spans="1:22" s="81" customFormat="1" ht="24">
      <c r="A39" s="70" t="s">
        <v>557</v>
      </c>
      <c r="B39" s="415" t="s">
        <v>907</v>
      </c>
      <c r="C39" s="333" t="s">
        <v>886</v>
      </c>
      <c r="D39" s="334" t="s">
        <v>890</v>
      </c>
      <c r="E39" s="417">
        <v>100.2</v>
      </c>
      <c r="F39" s="408"/>
      <c r="G39" s="408"/>
      <c r="H39" s="408"/>
      <c r="I39" s="408"/>
      <c r="J39" s="409"/>
      <c r="K39" s="410"/>
      <c r="L39" s="78"/>
      <c r="M39" s="73"/>
      <c r="N39" s="73"/>
      <c r="O39" s="73"/>
      <c r="P39" s="73"/>
      <c r="Q39" s="73"/>
      <c r="R39" s="73"/>
      <c r="S39" s="73"/>
      <c r="T39" s="73"/>
      <c r="U39" s="73"/>
      <c r="V39" s="73"/>
    </row>
    <row r="40" spans="1:22" s="81" customFormat="1">
      <c r="A40" s="70" t="s">
        <v>558</v>
      </c>
      <c r="B40" s="125" t="s">
        <v>832</v>
      </c>
      <c r="C40" s="333" t="s">
        <v>887</v>
      </c>
      <c r="D40" s="334" t="s">
        <v>890</v>
      </c>
      <c r="E40" s="417">
        <v>42.8</v>
      </c>
      <c r="F40" s="408"/>
      <c r="G40" s="408"/>
      <c r="H40" s="408"/>
      <c r="I40" s="408"/>
      <c r="J40" s="409"/>
      <c r="K40" s="410"/>
      <c r="L40" s="78"/>
      <c r="M40" s="73"/>
      <c r="N40" s="73"/>
      <c r="O40" s="73"/>
      <c r="P40" s="73"/>
      <c r="Q40" s="73"/>
      <c r="R40" s="73"/>
      <c r="S40" s="73"/>
      <c r="T40" s="73"/>
      <c r="U40" s="73"/>
      <c r="V40" s="73"/>
    </row>
    <row r="41" spans="1:22" s="74" customFormat="1">
      <c r="A41" s="496" t="s">
        <v>18</v>
      </c>
      <c r="B41" s="496"/>
      <c r="C41" s="497"/>
      <c r="D41" s="497"/>
      <c r="E41" s="497"/>
      <c r="F41" s="497"/>
      <c r="G41" s="497"/>
      <c r="H41" s="497"/>
      <c r="I41" s="497"/>
      <c r="J41" s="22"/>
      <c r="K41" s="22"/>
      <c r="L41" s="79"/>
      <c r="M41" s="73"/>
      <c r="N41" s="73"/>
      <c r="O41" s="73"/>
      <c r="P41" s="73"/>
      <c r="Q41" s="73"/>
      <c r="R41" s="73"/>
      <c r="S41" s="73"/>
      <c r="T41" s="73"/>
      <c r="U41" s="73"/>
      <c r="V41" s="73"/>
    </row>
    <row r="42" spans="1:22" s="81" customFormat="1">
      <c r="A42" s="80" t="s">
        <v>38</v>
      </c>
      <c r="B42" s="456" t="s">
        <v>180</v>
      </c>
      <c r="C42" s="457"/>
      <c r="D42" s="457"/>
      <c r="E42" s="457"/>
      <c r="F42" s="457"/>
      <c r="G42" s="457"/>
      <c r="H42" s="457"/>
      <c r="I42" s="457"/>
      <c r="J42" s="457"/>
      <c r="K42" s="485"/>
      <c r="L42" s="78"/>
      <c r="M42" s="73"/>
      <c r="N42" s="73"/>
      <c r="O42" s="73"/>
      <c r="P42" s="73"/>
      <c r="Q42" s="73"/>
      <c r="R42" s="73"/>
      <c r="S42" s="73"/>
      <c r="T42" s="73"/>
      <c r="U42" s="73"/>
      <c r="V42" s="73"/>
    </row>
    <row r="43" spans="1:22" s="53" customFormat="1">
      <c r="A43" s="48" t="s">
        <v>39</v>
      </c>
      <c r="B43" s="195"/>
      <c r="C43" s="58"/>
      <c r="D43" s="50"/>
      <c r="E43" s="47"/>
      <c r="F43" s="47"/>
      <c r="G43" s="47"/>
      <c r="H43" s="47"/>
      <c r="I43" s="47"/>
      <c r="J43" s="47"/>
      <c r="K43" s="47"/>
      <c r="L43" s="11"/>
      <c r="M43" s="11"/>
      <c r="N43" s="11"/>
      <c r="O43" s="11"/>
      <c r="P43" s="11"/>
      <c r="Q43" s="11"/>
      <c r="R43" s="11"/>
      <c r="S43" s="11"/>
      <c r="T43" s="11"/>
    </row>
    <row r="44" spans="1:22" s="74" customFormat="1">
      <c r="A44" s="496" t="s">
        <v>73</v>
      </c>
      <c r="B44" s="496"/>
      <c r="C44" s="497"/>
      <c r="D44" s="497"/>
      <c r="E44" s="497"/>
      <c r="F44" s="497"/>
      <c r="G44" s="497"/>
      <c r="H44" s="497"/>
      <c r="I44" s="497"/>
      <c r="J44" s="22"/>
      <c r="K44" s="22"/>
      <c r="L44" s="79"/>
      <c r="M44" s="73"/>
      <c r="N44" s="73"/>
      <c r="O44" s="73"/>
      <c r="P44" s="73"/>
      <c r="Q44" s="73"/>
      <c r="R44" s="73"/>
      <c r="S44" s="73"/>
      <c r="T44" s="73"/>
      <c r="U44" s="73"/>
      <c r="V44" s="73"/>
    </row>
    <row r="45" spans="1:22" s="53" customFormat="1" ht="15.75" customHeight="1">
      <c r="A45" s="60" t="s">
        <v>68</v>
      </c>
      <c r="B45" s="458" t="s">
        <v>104</v>
      </c>
      <c r="C45" s="459"/>
      <c r="D45" s="459"/>
      <c r="E45" s="459"/>
      <c r="F45" s="459"/>
      <c r="G45" s="459"/>
      <c r="H45" s="459"/>
      <c r="I45" s="459"/>
      <c r="J45" s="459"/>
      <c r="K45" s="473"/>
      <c r="L45" s="77"/>
      <c r="M45" s="11"/>
      <c r="N45" s="11"/>
      <c r="O45" s="11"/>
      <c r="P45" s="11"/>
      <c r="Q45" s="11"/>
      <c r="R45" s="11"/>
      <c r="S45" s="11"/>
      <c r="T45" s="11"/>
    </row>
    <row r="46" spans="1:22" s="53" customFormat="1">
      <c r="A46" s="198" t="s">
        <v>69</v>
      </c>
      <c r="B46" s="180"/>
      <c r="C46" s="58"/>
      <c r="D46" s="50"/>
      <c r="E46" s="47"/>
      <c r="F46" s="54"/>
      <c r="G46" s="54"/>
      <c r="H46" s="54"/>
      <c r="I46" s="54"/>
      <c r="J46" s="54"/>
      <c r="K46" s="47"/>
      <c r="L46" s="11"/>
      <c r="M46" s="11"/>
      <c r="N46" s="11"/>
      <c r="O46" s="11"/>
      <c r="P46" s="11"/>
      <c r="Q46" s="11"/>
      <c r="R46" s="11"/>
      <c r="S46" s="11"/>
      <c r="T46" s="11"/>
    </row>
    <row r="47" spans="1:22" s="53" customFormat="1" ht="15.75" customHeight="1">
      <c r="A47" s="479" t="s">
        <v>43</v>
      </c>
      <c r="B47" s="480"/>
      <c r="C47" s="480"/>
      <c r="D47" s="480"/>
      <c r="E47" s="480"/>
      <c r="F47" s="480"/>
      <c r="G47" s="480"/>
      <c r="H47" s="480"/>
      <c r="I47" s="481"/>
      <c r="J47" s="23"/>
      <c r="K47" s="23"/>
      <c r="L47" s="77"/>
      <c r="M47" s="11"/>
      <c r="N47" s="11"/>
      <c r="O47" s="11"/>
      <c r="P47" s="11"/>
      <c r="Q47" s="11"/>
      <c r="R47" s="11"/>
      <c r="S47" s="11"/>
      <c r="T47" s="11"/>
    </row>
    <row r="48" spans="1:22" s="74" customFormat="1">
      <c r="A48" s="70" t="s">
        <v>44</v>
      </c>
      <c r="B48" s="448" t="s">
        <v>109</v>
      </c>
      <c r="C48" s="449"/>
      <c r="D48" s="449"/>
      <c r="E48" s="449"/>
      <c r="F48" s="449"/>
      <c r="G48" s="449"/>
      <c r="H48" s="449"/>
      <c r="I48" s="449"/>
      <c r="J48" s="449"/>
      <c r="K48" s="449"/>
      <c r="L48" s="78"/>
      <c r="M48" s="73"/>
      <c r="N48" s="73"/>
      <c r="O48" s="73"/>
      <c r="P48" s="73"/>
      <c r="Q48" s="73"/>
      <c r="R48" s="73"/>
      <c r="S48" s="73"/>
      <c r="T48" s="73"/>
      <c r="U48" s="73"/>
      <c r="V48" s="73"/>
    </row>
    <row r="49" spans="1:22" s="81" customFormat="1" ht="24.75">
      <c r="A49" s="80" t="s">
        <v>82</v>
      </c>
      <c r="B49" s="197">
        <v>72081</v>
      </c>
      <c r="C49" s="181" t="s">
        <v>547</v>
      </c>
      <c r="D49" s="92" t="s">
        <v>29</v>
      </c>
      <c r="E49" s="47">
        <v>82.6</v>
      </c>
      <c r="F49" s="47"/>
      <c r="G49" s="47"/>
      <c r="H49" s="47"/>
      <c r="I49" s="47"/>
      <c r="J49" s="82"/>
      <c r="K49" s="47"/>
      <c r="L49" s="78"/>
      <c r="M49" s="73"/>
      <c r="N49" s="73"/>
      <c r="O49" s="73"/>
      <c r="P49" s="73"/>
      <c r="Q49" s="73"/>
      <c r="R49" s="73"/>
      <c r="S49" s="73"/>
      <c r="T49" s="73"/>
      <c r="U49" s="73"/>
      <c r="V49" s="73"/>
    </row>
    <row r="50" spans="1:22" s="81" customFormat="1" ht="24.75">
      <c r="A50" s="80" t="s">
        <v>86</v>
      </c>
      <c r="B50" s="197" t="s">
        <v>205</v>
      </c>
      <c r="C50" s="181" t="s">
        <v>206</v>
      </c>
      <c r="D50" s="92" t="s">
        <v>29</v>
      </c>
      <c r="E50" s="47">
        <f>E49*1.005</f>
        <v>83.012999999999991</v>
      </c>
      <c r="F50" s="47"/>
      <c r="G50" s="47"/>
      <c r="H50" s="47"/>
      <c r="I50" s="47"/>
      <c r="J50" s="82"/>
      <c r="K50" s="47"/>
      <c r="L50" s="78"/>
      <c r="M50" s="73"/>
      <c r="N50" s="73"/>
      <c r="O50" s="73"/>
      <c r="P50" s="73"/>
      <c r="Q50" s="73"/>
      <c r="R50" s="73"/>
      <c r="S50" s="73"/>
      <c r="T50" s="73"/>
      <c r="U50" s="73"/>
      <c r="V50" s="73"/>
    </row>
    <row r="51" spans="1:22" s="81" customFormat="1">
      <c r="A51" s="80" t="s">
        <v>110</v>
      </c>
      <c r="B51" s="197">
        <v>72104</v>
      </c>
      <c r="C51" s="76" t="s">
        <v>208</v>
      </c>
      <c r="D51" s="92" t="s">
        <v>28</v>
      </c>
      <c r="E51" s="289">
        <v>11.8</v>
      </c>
      <c r="F51" s="47"/>
      <c r="G51" s="47"/>
      <c r="H51" s="47"/>
      <c r="I51" s="47"/>
      <c r="J51" s="82"/>
      <c r="K51" s="47"/>
      <c r="L51" s="78"/>
      <c r="M51" s="73"/>
      <c r="N51" s="73"/>
      <c r="O51" s="73"/>
      <c r="P51" s="73"/>
      <c r="Q51" s="73"/>
      <c r="R51" s="73"/>
      <c r="S51" s="73"/>
      <c r="T51" s="73"/>
      <c r="U51" s="73"/>
      <c r="V51" s="73"/>
    </row>
    <row r="52" spans="1:22" s="74" customFormat="1">
      <c r="A52" s="462" t="s">
        <v>45</v>
      </c>
      <c r="B52" s="463"/>
      <c r="C52" s="463"/>
      <c r="D52" s="463"/>
      <c r="E52" s="463"/>
      <c r="F52" s="463"/>
      <c r="G52" s="463"/>
      <c r="H52" s="463"/>
      <c r="I52" s="464"/>
      <c r="J52" s="23"/>
      <c r="K52" s="23"/>
      <c r="L52" s="79"/>
      <c r="M52" s="73"/>
      <c r="N52" s="73"/>
      <c r="O52" s="73"/>
      <c r="P52" s="73"/>
      <c r="Q52" s="73"/>
      <c r="R52" s="73"/>
      <c r="S52" s="73"/>
      <c r="T52" s="73"/>
      <c r="U52" s="73"/>
      <c r="V52" s="73"/>
    </row>
    <row r="53" spans="1:22" s="53" customFormat="1">
      <c r="A53" s="48" t="s">
        <v>83</v>
      </c>
      <c r="B53" s="474" t="s">
        <v>6</v>
      </c>
      <c r="C53" s="475"/>
      <c r="D53" s="475"/>
      <c r="E53" s="475"/>
      <c r="F53" s="475"/>
      <c r="G53" s="475"/>
      <c r="H53" s="475"/>
      <c r="I53" s="475"/>
      <c r="J53" s="475"/>
      <c r="K53" s="476"/>
      <c r="L53" s="77"/>
      <c r="M53" s="11"/>
      <c r="N53" s="11"/>
      <c r="O53" s="11"/>
      <c r="P53" s="11"/>
      <c r="Q53" s="11"/>
      <c r="R53" s="11"/>
      <c r="S53" s="11"/>
      <c r="T53" s="11"/>
    </row>
    <row r="54" spans="1:22" s="91" customFormat="1">
      <c r="A54" s="86" t="s">
        <v>343</v>
      </c>
      <c r="B54" s="359" t="s">
        <v>852</v>
      </c>
      <c r="C54" s="202" t="s">
        <v>31</v>
      </c>
      <c r="D54" s="201" t="s">
        <v>28</v>
      </c>
      <c r="E54" s="88">
        <f>(15*4)</f>
        <v>60</v>
      </c>
      <c r="F54" s="202"/>
      <c r="G54" s="54"/>
      <c r="H54" s="202"/>
      <c r="I54" s="54"/>
      <c r="J54" s="54"/>
      <c r="K54" s="54"/>
      <c r="L54" s="90"/>
      <c r="M54" s="90"/>
      <c r="N54" s="90"/>
      <c r="O54" s="90"/>
      <c r="P54" s="90"/>
      <c r="Q54" s="90"/>
      <c r="R54" s="90"/>
      <c r="S54" s="90"/>
      <c r="T54" s="90"/>
    </row>
    <row r="55" spans="1:22" s="91" customFormat="1">
      <c r="A55" s="86" t="s">
        <v>344</v>
      </c>
      <c r="B55" s="137"/>
      <c r="C55" s="191" t="s">
        <v>48</v>
      </c>
      <c r="D55" s="173" t="s">
        <v>27</v>
      </c>
      <c r="E55" s="47">
        <v>3</v>
      </c>
      <c r="F55" s="47"/>
      <c r="G55" s="47"/>
      <c r="H55" s="47"/>
      <c r="I55" s="47"/>
      <c r="J55" s="47"/>
      <c r="K55" s="54"/>
      <c r="L55" s="90"/>
      <c r="M55" s="90"/>
      <c r="N55" s="90"/>
      <c r="O55" s="90"/>
      <c r="P55" s="90"/>
      <c r="Q55" s="90"/>
      <c r="R55" s="90"/>
      <c r="S55" s="90"/>
      <c r="T55" s="90"/>
    </row>
    <row r="56" spans="1:22" s="91" customFormat="1">
      <c r="A56" s="86" t="s">
        <v>346</v>
      </c>
      <c r="B56" s="137"/>
      <c r="C56" s="191" t="s">
        <v>32</v>
      </c>
      <c r="D56" s="173" t="s">
        <v>28</v>
      </c>
      <c r="E56" s="47">
        <v>15</v>
      </c>
      <c r="F56" s="47"/>
      <c r="G56" s="47"/>
      <c r="H56" s="47"/>
      <c r="I56" s="47"/>
      <c r="J56" s="47"/>
      <c r="K56" s="54"/>
      <c r="L56" s="90"/>
      <c r="M56" s="90"/>
      <c r="N56" s="90"/>
      <c r="O56" s="90"/>
      <c r="P56" s="90"/>
      <c r="Q56" s="90"/>
      <c r="R56" s="90"/>
      <c r="S56" s="90"/>
      <c r="T56" s="90"/>
    </row>
    <row r="57" spans="1:22" s="91" customFormat="1">
      <c r="A57" s="86" t="s">
        <v>348</v>
      </c>
      <c r="B57" s="137"/>
      <c r="C57" s="186" t="s">
        <v>91</v>
      </c>
      <c r="D57" s="173" t="s">
        <v>27</v>
      </c>
      <c r="E57" s="47">
        <v>2</v>
      </c>
      <c r="F57" s="186"/>
      <c r="G57" s="47"/>
      <c r="H57" s="186"/>
      <c r="I57" s="47"/>
      <c r="J57" s="47"/>
      <c r="K57" s="54"/>
      <c r="L57" s="90"/>
      <c r="M57" s="90"/>
      <c r="N57" s="90"/>
      <c r="O57" s="90"/>
      <c r="P57" s="90"/>
      <c r="Q57" s="90"/>
      <c r="R57" s="90"/>
      <c r="S57" s="90"/>
      <c r="T57" s="90"/>
    </row>
    <row r="58" spans="1:22" s="91" customFormat="1">
      <c r="A58" s="86" t="s">
        <v>350</v>
      </c>
      <c r="B58" s="137"/>
      <c r="C58" s="58" t="s">
        <v>53</v>
      </c>
      <c r="D58" s="50" t="s">
        <v>27</v>
      </c>
      <c r="E58" s="47">
        <v>1</v>
      </c>
      <c r="F58" s="47"/>
      <c r="G58" s="47"/>
      <c r="H58" s="47"/>
      <c r="I58" s="47"/>
      <c r="J58" s="47"/>
      <c r="K58" s="54"/>
      <c r="L58" s="90"/>
      <c r="M58" s="90"/>
      <c r="N58" s="90"/>
      <c r="O58" s="90"/>
      <c r="P58" s="90"/>
      <c r="Q58" s="90"/>
      <c r="R58" s="90"/>
      <c r="S58" s="90"/>
      <c r="T58" s="90"/>
    </row>
    <row r="59" spans="1:22">
      <c r="A59" s="479" t="s">
        <v>84</v>
      </c>
      <c r="B59" s="480"/>
      <c r="C59" s="480"/>
      <c r="D59" s="480"/>
      <c r="E59" s="480"/>
      <c r="F59" s="480"/>
      <c r="G59" s="480"/>
      <c r="H59" s="480"/>
      <c r="I59" s="481"/>
      <c r="J59" s="23"/>
      <c r="K59" s="39"/>
      <c r="L59" s="11"/>
      <c r="M59" s="11"/>
      <c r="N59" s="11"/>
      <c r="O59" s="11"/>
      <c r="P59" s="11"/>
      <c r="Q59" s="11"/>
      <c r="R59" s="11"/>
      <c r="S59" s="11"/>
      <c r="T59" s="11"/>
    </row>
    <row r="60" spans="1:22" s="53" customFormat="1">
      <c r="A60" s="60" t="s">
        <v>46</v>
      </c>
      <c r="B60" s="486" t="s">
        <v>112</v>
      </c>
      <c r="C60" s="487"/>
      <c r="D60" s="487"/>
      <c r="E60" s="487"/>
      <c r="F60" s="487"/>
      <c r="G60" s="487"/>
      <c r="H60" s="487"/>
      <c r="I60" s="487"/>
      <c r="J60" s="487"/>
      <c r="K60" s="488"/>
      <c r="L60" s="11"/>
      <c r="M60" s="11"/>
      <c r="N60" s="11"/>
      <c r="O60" s="11"/>
      <c r="P60" s="11"/>
      <c r="Q60" s="11"/>
      <c r="R60" s="11"/>
      <c r="S60" s="11"/>
      <c r="T60" s="11"/>
    </row>
    <row r="61" spans="1:22" s="53" customFormat="1">
      <c r="A61" s="48" t="s">
        <v>352</v>
      </c>
      <c r="B61" s="48"/>
      <c r="C61" s="191"/>
      <c r="D61" s="173"/>
      <c r="E61" s="251"/>
      <c r="F61" s="47"/>
      <c r="G61" s="47"/>
      <c r="H61" s="47"/>
      <c r="I61" s="47"/>
      <c r="J61" s="47"/>
      <c r="K61" s="54"/>
      <c r="L61" s="11"/>
      <c r="M61" s="11"/>
      <c r="N61" s="11"/>
      <c r="O61" s="11"/>
      <c r="P61" s="11"/>
      <c r="Q61" s="11"/>
      <c r="R61" s="11"/>
      <c r="S61" s="11"/>
      <c r="T61" s="11"/>
    </row>
    <row r="62" spans="1:22" s="53" customFormat="1">
      <c r="A62" s="482" t="s">
        <v>85</v>
      </c>
      <c r="B62" s="483"/>
      <c r="C62" s="483"/>
      <c r="D62" s="483"/>
      <c r="E62" s="483"/>
      <c r="F62" s="483"/>
      <c r="G62" s="483"/>
      <c r="H62" s="483"/>
      <c r="I62" s="484"/>
      <c r="J62" s="61"/>
      <c r="K62" s="61"/>
      <c r="L62" s="11"/>
      <c r="M62" s="11"/>
      <c r="N62" s="11"/>
      <c r="O62" s="11"/>
      <c r="P62" s="11"/>
      <c r="Q62" s="11"/>
      <c r="R62" s="11"/>
      <c r="S62" s="11"/>
      <c r="T62" s="11"/>
    </row>
    <row r="63" spans="1:22" s="53" customFormat="1">
      <c r="A63" s="60" t="s">
        <v>138</v>
      </c>
      <c r="B63" s="559" t="s">
        <v>54</v>
      </c>
      <c r="C63" s="560"/>
      <c r="D63" s="560"/>
      <c r="E63" s="560"/>
      <c r="F63" s="560"/>
      <c r="G63" s="560"/>
      <c r="H63" s="560"/>
      <c r="I63" s="560"/>
      <c r="J63" s="560"/>
      <c r="K63" s="561"/>
      <c r="L63" s="11"/>
      <c r="M63" s="11"/>
      <c r="N63" s="11"/>
      <c r="O63" s="11"/>
      <c r="P63" s="11"/>
      <c r="Q63" s="11"/>
      <c r="R63" s="11"/>
      <c r="S63" s="11"/>
      <c r="T63" s="11"/>
    </row>
    <row r="64" spans="1:22" s="53" customFormat="1">
      <c r="A64" s="48" t="s">
        <v>359</v>
      </c>
      <c r="B64" s="48"/>
      <c r="C64" s="192"/>
      <c r="D64" s="173"/>
      <c r="E64" s="47"/>
      <c r="F64" s="47"/>
      <c r="G64" s="47"/>
      <c r="H64" s="47"/>
      <c r="I64" s="47"/>
      <c r="J64" s="47"/>
      <c r="K64" s="54"/>
      <c r="L64" s="11"/>
      <c r="M64" s="11"/>
      <c r="N64" s="11"/>
      <c r="O64" s="11"/>
      <c r="P64" s="11"/>
      <c r="Q64" s="11"/>
      <c r="R64" s="11"/>
      <c r="S64" s="11"/>
      <c r="T64" s="11"/>
    </row>
    <row r="65" spans="1:22">
      <c r="A65" s="479" t="s">
        <v>139</v>
      </c>
      <c r="B65" s="480"/>
      <c r="C65" s="480"/>
      <c r="D65" s="480"/>
      <c r="E65" s="480"/>
      <c r="F65" s="480"/>
      <c r="G65" s="480"/>
      <c r="H65" s="480"/>
      <c r="I65" s="481"/>
      <c r="J65" s="23"/>
      <c r="K65" s="39"/>
      <c r="L65" s="11"/>
      <c r="M65" s="11"/>
      <c r="N65" s="11"/>
      <c r="O65" s="11"/>
      <c r="P65" s="11"/>
      <c r="Q65" s="11"/>
      <c r="R65" s="11"/>
      <c r="S65" s="11"/>
      <c r="T65" s="11"/>
    </row>
    <row r="66" spans="1:22" s="74" customFormat="1">
      <c r="A66" s="70" t="s">
        <v>113</v>
      </c>
      <c r="B66" s="477" t="s">
        <v>114</v>
      </c>
      <c r="C66" s="478"/>
      <c r="D66" s="478"/>
      <c r="E66" s="478"/>
      <c r="F66" s="478"/>
      <c r="G66" s="478"/>
      <c r="H66" s="478"/>
      <c r="I66" s="478"/>
      <c r="J66" s="478"/>
      <c r="K66" s="478"/>
      <c r="L66" s="78"/>
      <c r="M66" s="73"/>
      <c r="N66" s="73"/>
      <c r="O66" s="73"/>
      <c r="P66" s="73"/>
      <c r="Q66" s="73"/>
      <c r="R66" s="73"/>
      <c r="S66" s="73"/>
      <c r="T66" s="73"/>
      <c r="U66" s="73"/>
      <c r="V66" s="73"/>
    </row>
    <row r="67" spans="1:22" s="154" customFormat="1" ht="14.25">
      <c r="A67" s="124" t="s">
        <v>115</v>
      </c>
      <c r="B67" s="180"/>
      <c r="C67" s="183"/>
      <c r="D67" s="182"/>
      <c r="E67" s="117"/>
      <c r="F67" s="183"/>
      <c r="G67" s="47"/>
      <c r="H67" s="183"/>
      <c r="I67" s="47"/>
      <c r="J67" s="47"/>
      <c r="K67" s="47"/>
      <c r="L67" s="120"/>
      <c r="M67" s="121"/>
      <c r="N67" s="121"/>
      <c r="O67" s="121"/>
      <c r="P67" s="121"/>
      <c r="Q67" s="121"/>
      <c r="R67" s="121"/>
      <c r="S67" s="121"/>
      <c r="T67" s="121"/>
      <c r="U67" s="121"/>
      <c r="V67" s="121"/>
    </row>
    <row r="68" spans="1:22" s="74" customFormat="1">
      <c r="A68" s="462" t="s">
        <v>117</v>
      </c>
      <c r="B68" s="463"/>
      <c r="C68" s="463"/>
      <c r="D68" s="463"/>
      <c r="E68" s="463"/>
      <c r="F68" s="463"/>
      <c r="G68" s="463"/>
      <c r="H68" s="463"/>
      <c r="I68" s="464"/>
      <c r="J68" s="23"/>
      <c r="K68" s="23"/>
      <c r="L68" s="79"/>
      <c r="M68" s="73"/>
      <c r="N68" s="73"/>
      <c r="O68" s="73"/>
      <c r="P68" s="73"/>
      <c r="Q68" s="73"/>
      <c r="R68" s="73"/>
      <c r="S68" s="73"/>
      <c r="T68" s="73"/>
      <c r="U68" s="73"/>
      <c r="V68" s="73"/>
    </row>
    <row r="69" spans="1:22">
      <c r="A69" s="60" t="s">
        <v>140</v>
      </c>
      <c r="B69" s="458" t="s">
        <v>118</v>
      </c>
      <c r="C69" s="459"/>
      <c r="D69" s="459"/>
      <c r="E69" s="459"/>
      <c r="F69" s="459"/>
      <c r="G69" s="459"/>
      <c r="H69" s="459"/>
      <c r="I69" s="459"/>
      <c r="J69" s="459"/>
      <c r="K69" s="473"/>
      <c r="L69" s="11"/>
      <c r="M69" s="11"/>
      <c r="N69" s="11"/>
      <c r="O69" s="11"/>
      <c r="P69" s="11"/>
      <c r="Q69" s="11"/>
      <c r="R69" s="11"/>
      <c r="S69" s="11"/>
      <c r="T69" s="11"/>
    </row>
    <row r="70" spans="1:22" s="53" customFormat="1">
      <c r="A70" s="96" t="s">
        <v>380</v>
      </c>
      <c r="B70" s="96"/>
      <c r="C70" s="140" t="s">
        <v>304</v>
      </c>
      <c r="D70" s="141" t="s">
        <v>27</v>
      </c>
      <c r="E70" s="47">
        <v>1</v>
      </c>
      <c r="F70" s="140"/>
      <c r="G70" s="140"/>
      <c r="H70" s="140"/>
      <c r="I70" s="140"/>
      <c r="J70" s="140"/>
      <c r="K70" s="21"/>
      <c r="L70" s="11"/>
      <c r="M70" s="11"/>
      <c r="N70" s="11"/>
      <c r="O70" s="11"/>
      <c r="P70" s="11"/>
      <c r="Q70" s="11"/>
      <c r="R70" s="11"/>
      <c r="S70" s="11"/>
      <c r="T70" s="11"/>
    </row>
    <row r="71" spans="1:22" s="53" customFormat="1">
      <c r="A71" s="96" t="s">
        <v>381</v>
      </c>
      <c r="B71" s="96"/>
      <c r="C71" s="140" t="s">
        <v>310</v>
      </c>
      <c r="D71" s="141" t="s">
        <v>27</v>
      </c>
      <c r="E71" s="47">
        <v>1</v>
      </c>
      <c r="F71" s="25"/>
      <c r="G71" s="140"/>
      <c r="H71" s="25"/>
      <c r="I71" s="140"/>
      <c r="J71" s="140"/>
      <c r="K71" s="21"/>
      <c r="L71" s="11"/>
      <c r="M71" s="11"/>
      <c r="N71" s="11"/>
      <c r="O71" s="11"/>
      <c r="P71" s="11"/>
      <c r="Q71" s="11"/>
      <c r="R71" s="11"/>
      <c r="S71" s="11"/>
      <c r="T71" s="11"/>
    </row>
    <row r="72" spans="1:22">
      <c r="A72" s="479" t="s">
        <v>141</v>
      </c>
      <c r="B72" s="480"/>
      <c r="C72" s="480"/>
      <c r="D72" s="480"/>
      <c r="E72" s="480"/>
      <c r="F72" s="480"/>
      <c r="G72" s="480"/>
      <c r="H72" s="480"/>
      <c r="I72" s="481"/>
      <c r="J72" s="23"/>
      <c r="K72" s="39"/>
    </row>
    <row r="73" spans="1:22">
      <c r="A73" s="60" t="s">
        <v>142</v>
      </c>
      <c r="B73" s="458" t="s">
        <v>7</v>
      </c>
      <c r="C73" s="459"/>
      <c r="D73" s="459"/>
      <c r="E73" s="459"/>
      <c r="F73" s="459"/>
      <c r="G73" s="459"/>
      <c r="H73" s="459"/>
      <c r="I73" s="459"/>
      <c r="J73" s="459"/>
      <c r="K73" s="473"/>
      <c r="L73" s="11"/>
      <c r="M73" s="11"/>
      <c r="N73" s="11"/>
      <c r="O73" s="11"/>
      <c r="P73" s="11"/>
      <c r="Q73" s="11"/>
      <c r="R73" s="11"/>
      <c r="S73" s="11"/>
      <c r="T73" s="11"/>
    </row>
    <row r="74" spans="1:22" s="53" customFormat="1" ht="24.75">
      <c r="A74" s="48" t="s">
        <v>143</v>
      </c>
      <c r="B74" s="197">
        <v>5974</v>
      </c>
      <c r="C74" s="58" t="s">
        <v>209</v>
      </c>
      <c r="D74" s="50" t="s">
        <v>29</v>
      </c>
      <c r="E74" s="47">
        <f>6*3.75*1</f>
        <v>22.5</v>
      </c>
      <c r="F74" s="47"/>
      <c r="G74" s="47"/>
      <c r="H74" s="47"/>
      <c r="I74" s="47"/>
      <c r="J74" s="47"/>
      <c r="K74" s="47"/>
      <c r="L74" s="11"/>
      <c r="M74" s="11"/>
      <c r="N74" s="11"/>
      <c r="O74" s="11"/>
      <c r="P74" s="11"/>
      <c r="Q74" s="11"/>
      <c r="R74" s="11"/>
      <c r="S74" s="11"/>
      <c r="T74" s="11"/>
    </row>
    <row r="75" spans="1:22" s="53" customFormat="1" ht="24.75">
      <c r="A75" s="48" t="s">
        <v>144</v>
      </c>
      <c r="B75" s="197">
        <v>5992</v>
      </c>
      <c r="C75" s="58" t="s">
        <v>212</v>
      </c>
      <c r="D75" s="50" t="s">
        <v>29</v>
      </c>
      <c r="E75" s="47">
        <f>E74</f>
        <v>22.5</v>
      </c>
      <c r="F75" s="47"/>
      <c r="G75" s="47"/>
      <c r="H75" s="47"/>
      <c r="I75" s="47"/>
      <c r="J75" s="47"/>
      <c r="K75" s="47"/>
      <c r="L75" s="11"/>
      <c r="M75" s="11"/>
      <c r="N75" s="11"/>
      <c r="O75" s="11"/>
      <c r="P75" s="11"/>
      <c r="Q75" s="11"/>
      <c r="R75" s="11"/>
      <c r="S75" s="11"/>
      <c r="T75" s="11"/>
    </row>
    <row r="76" spans="1:22" s="53" customFormat="1" ht="24">
      <c r="A76" s="48" t="s">
        <v>145</v>
      </c>
      <c r="B76" s="197" t="s">
        <v>528</v>
      </c>
      <c r="C76" s="240" t="s">
        <v>530</v>
      </c>
      <c r="D76" s="50" t="s">
        <v>29</v>
      </c>
      <c r="E76" s="47">
        <f>55.08*1.1</f>
        <v>60.588000000000001</v>
      </c>
      <c r="F76" s="47"/>
      <c r="G76" s="47"/>
      <c r="H76" s="47"/>
      <c r="I76" s="47"/>
      <c r="J76" s="47"/>
      <c r="K76" s="47"/>
      <c r="L76" s="11"/>
      <c r="M76" s="11"/>
      <c r="N76" s="11"/>
      <c r="O76" s="11"/>
      <c r="P76" s="11"/>
      <c r="Q76" s="11"/>
      <c r="R76" s="11"/>
      <c r="S76" s="11"/>
      <c r="T76" s="11"/>
    </row>
    <row r="77" spans="1:22" s="53" customFormat="1">
      <c r="A77" s="48" t="s">
        <v>146</v>
      </c>
      <c r="B77" s="197">
        <v>72948</v>
      </c>
      <c r="C77" s="238" t="s">
        <v>529</v>
      </c>
      <c r="D77" s="50" t="s">
        <v>47</v>
      </c>
      <c r="E77" s="47">
        <f>(E76/1.1)*0.6</f>
        <v>33.047999999999995</v>
      </c>
      <c r="F77" s="47"/>
      <c r="G77" s="47"/>
      <c r="H77" s="47"/>
      <c r="I77" s="47"/>
      <c r="J77" s="47"/>
      <c r="K77" s="47"/>
      <c r="L77" s="11"/>
      <c r="M77" s="11"/>
      <c r="N77" s="11"/>
      <c r="O77" s="11"/>
      <c r="P77" s="11"/>
      <c r="Q77" s="11"/>
      <c r="R77" s="11"/>
      <c r="S77" s="11"/>
      <c r="T77" s="11"/>
    </row>
    <row r="78" spans="1:22">
      <c r="A78" s="479" t="s">
        <v>151</v>
      </c>
      <c r="B78" s="480"/>
      <c r="C78" s="480"/>
      <c r="D78" s="480"/>
      <c r="E78" s="480"/>
      <c r="F78" s="480"/>
      <c r="G78" s="480"/>
      <c r="H78" s="480"/>
      <c r="I78" s="481"/>
      <c r="J78" s="22"/>
      <c r="K78" s="22"/>
      <c r="L78" s="77"/>
      <c r="M78" s="11"/>
      <c r="N78" s="11"/>
      <c r="O78" s="11"/>
      <c r="P78" s="11"/>
      <c r="Q78" s="11"/>
      <c r="R78" s="11"/>
      <c r="S78" s="11"/>
      <c r="T78" s="11"/>
    </row>
    <row r="79" spans="1:22" s="74" customFormat="1">
      <c r="A79" s="70" t="s">
        <v>132</v>
      </c>
      <c r="B79" s="448" t="s">
        <v>133</v>
      </c>
      <c r="C79" s="449"/>
      <c r="D79" s="449"/>
      <c r="E79" s="449"/>
      <c r="F79" s="449"/>
      <c r="G79" s="449"/>
      <c r="H79" s="449"/>
      <c r="I79" s="449"/>
      <c r="J79" s="449"/>
      <c r="K79" s="449"/>
      <c r="L79" s="78"/>
      <c r="M79" s="73"/>
      <c r="N79" s="73"/>
      <c r="O79" s="73"/>
      <c r="P79" s="73"/>
      <c r="Q79" s="73"/>
      <c r="R79" s="73"/>
      <c r="S79" s="73"/>
      <c r="T79" s="73"/>
      <c r="U79" s="73"/>
    </row>
    <row r="80" spans="1:22" s="81" customFormat="1">
      <c r="A80" s="80" t="s">
        <v>134</v>
      </c>
      <c r="B80" s="211"/>
      <c r="C80" s="200"/>
      <c r="D80" s="92"/>
      <c r="E80" s="47"/>
      <c r="F80" s="47"/>
      <c r="G80" s="47"/>
      <c r="H80" s="47"/>
      <c r="I80" s="47"/>
      <c r="J80" s="47"/>
      <c r="K80" s="47"/>
      <c r="L80" s="78"/>
      <c r="M80" s="73"/>
      <c r="N80" s="73"/>
      <c r="O80" s="73"/>
      <c r="P80" s="73"/>
      <c r="Q80" s="73"/>
      <c r="R80" s="73"/>
      <c r="S80" s="73"/>
      <c r="T80" s="73"/>
      <c r="U80" s="73"/>
    </row>
    <row r="81" spans="1:22" s="74" customFormat="1">
      <c r="A81" s="450" t="s">
        <v>137</v>
      </c>
      <c r="B81" s="451"/>
      <c r="C81" s="451"/>
      <c r="D81" s="451"/>
      <c r="E81" s="451"/>
      <c r="F81" s="451"/>
      <c r="G81" s="451"/>
      <c r="H81" s="451"/>
      <c r="I81" s="452"/>
      <c r="J81" s="22"/>
      <c r="K81" s="22"/>
      <c r="L81" s="79"/>
      <c r="M81" s="73"/>
      <c r="N81" s="73"/>
      <c r="O81" s="73"/>
      <c r="P81" s="73"/>
      <c r="Q81" s="73"/>
      <c r="R81" s="73"/>
      <c r="S81" s="73"/>
      <c r="T81" s="73"/>
      <c r="U81" s="73"/>
    </row>
    <row r="82" spans="1:22" s="53" customFormat="1">
      <c r="A82" s="60" t="s">
        <v>152</v>
      </c>
      <c r="B82" s="453" t="s">
        <v>67</v>
      </c>
      <c r="C82" s="454"/>
      <c r="D82" s="454"/>
      <c r="E82" s="454"/>
      <c r="F82" s="454"/>
      <c r="G82" s="454"/>
      <c r="H82" s="454"/>
      <c r="I82" s="454"/>
      <c r="J82" s="454"/>
      <c r="K82" s="455"/>
      <c r="L82" s="77"/>
      <c r="M82" s="11"/>
      <c r="N82" s="11"/>
      <c r="O82" s="11"/>
      <c r="P82" s="11"/>
      <c r="Q82" s="11"/>
      <c r="R82" s="11"/>
      <c r="S82" s="11"/>
      <c r="T82" s="11"/>
    </row>
    <row r="83" spans="1:22" s="53" customFormat="1">
      <c r="A83" s="48" t="s">
        <v>153</v>
      </c>
      <c r="B83" s="195" t="s">
        <v>234</v>
      </c>
      <c r="C83" s="76" t="s">
        <v>235</v>
      </c>
      <c r="D83" s="50" t="s">
        <v>29</v>
      </c>
      <c r="E83" s="47">
        <f>E75</f>
        <v>22.5</v>
      </c>
      <c r="F83" s="47"/>
      <c r="G83" s="47"/>
      <c r="H83" s="47"/>
      <c r="I83" s="47"/>
      <c r="J83" s="47"/>
      <c r="K83" s="47"/>
      <c r="L83" s="11"/>
      <c r="M83" s="11"/>
      <c r="N83" s="11"/>
      <c r="O83" s="11"/>
      <c r="P83" s="11"/>
      <c r="Q83" s="11"/>
      <c r="R83" s="11"/>
      <c r="S83" s="11"/>
      <c r="T83" s="11"/>
    </row>
    <row r="84" spans="1:22" s="53" customFormat="1">
      <c r="A84" s="48" t="s">
        <v>154</v>
      </c>
      <c r="B84" s="197">
        <v>6082</v>
      </c>
      <c r="C84" s="76" t="s">
        <v>238</v>
      </c>
      <c r="D84" s="50" t="s">
        <v>29</v>
      </c>
      <c r="E84" s="47">
        <f>E49</f>
        <v>82.6</v>
      </c>
      <c r="F84" s="47"/>
      <c r="G84" s="47"/>
      <c r="H84" s="47"/>
      <c r="I84" s="47"/>
      <c r="J84" s="47"/>
      <c r="K84" s="47"/>
      <c r="L84" s="11"/>
      <c r="M84" s="11"/>
      <c r="N84" s="11"/>
      <c r="O84" s="11"/>
      <c r="P84" s="11"/>
      <c r="Q84" s="11"/>
      <c r="R84" s="11"/>
      <c r="S84" s="11"/>
      <c r="T84" s="11"/>
    </row>
    <row r="85" spans="1:22" s="53" customFormat="1">
      <c r="A85" s="48" t="s">
        <v>155</v>
      </c>
      <c r="B85" s="195" t="s">
        <v>236</v>
      </c>
      <c r="C85" s="76" t="s">
        <v>237</v>
      </c>
      <c r="D85" s="50" t="s">
        <v>29</v>
      </c>
      <c r="E85" s="47">
        <f>E83</f>
        <v>22.5</v>
      </c>
      <c r="F85" s="47"/>
      <c r="G85" s="47"/>
      <c r="H85" s="47"/>
      <c r="I85" s="47"/>
      <c r="J85" s="47"/>
      <c r="K85" s="47"/>
      <c r="L85" s="11"/>
      <c r="M85" s="11"/>
      <c r="N85" s="11"/>
      <c r="O85" s="11"/>
      <c r="P85" s="11"/>
      <c r="Q85" s="11"/>
      <c r="R85" s="11"/>
      <c r="S85" s="11"/>
      <c r="T85" s="11"/>
    </row>
    <row r="86" spans="1:22" s="53" customFormat="1">
      <c r="A86" s="479" t="s">
        <v>156</v>
      </c>
      <c r="B86" s="480"/>
      <c r="C86" s="480"/>
      <c r="D86" s="480"/>
      <c r="E86" s="480"/>
      <c r="F86" s="480"/>
      <c r="G86" s="480"/>
      <c r="H86" s="480"/>
      <c r="I86" s="481"/>
      <c r="J86" s="23"/>
      <c r="K86" s="23"/>
      <c r="L86" s="77"/>
      <c r="M86" s="11"/>
      <c r="N86" s="11"/>
      <c r="O86" s="11"/>
      <c r="P86" s="11"/>
      <c r="Q86" s="11"/>
      <c r="R86" s="11"/>
      <c r="S86" s="11"/>
      <c r="T86" s="11"/>
    </row>
    <row r="87" spans="1:22" s="74" customFormat="1">
      <c r="A87" s="70" t="s">
        <v>158</v>
      </c>
      <c r="B87" s="477" t="s">
        <v>120</v>
      </c>
      <c r="C87" s="478"/>
      <c r="D87" s="478"/>
      <c r="E87" s="478"/>
      <c r="F87" s="478"/>
      <c r="G87" s="478"/>
      <c r="H87" s="478"/>
      <c r="I87" s="478"/>
      <c r="J87" s="478"/>
      <c r="K87" s="478"/>
      <c r="L87" s="78"/>
      <c r="M87" s="73"/>
      <c r="N87" s="73"/>
      <c r="O87" s="73"/>
      <c r="P87" s="73"/>
      <c r="Q87" s="73"/>
      <c r="R87" s="73"/>
      <c r="S87" s="73"/>
      <c r="T87" s="73"/>
      <c r="U87" s="73"/>
      <c r="V87" s="73"/>
    </row>
    <row r="88" spans="1:22" s="74" customFormat="1">
      <c r="A88" s="70" t="s">
        <v>157</v>
      </c>
      <c r="B88" s="249" t="s">
        <v>707</v>
      </c>
      <c r="C88" s="250" t="s">
        <v>733</v>
      </c>
      <c r="D88" s="123" t="s">
        <v>28</v>
      </c>
      <c r="E88" s="117">
        <v>70</v>
      </c>
      <c r="F88" s="242">
        <f>Geral!F248</f>
        <v>0</v>
      </c>
      <c r="G88" s="117"/>
      <c r="H88" s="117">
        <f>Geral!H248</f>
        <v>0</v>
      </c>
      <c r="I88" s="117"/>
      <c r="J88" s="117"/>
      <c r="K88" s="117"/>
      <c r="L88" s="78"/>
      <c r="M88" s="73"/>
      <c r="N88" s="73"/>
      <c r="O88" s="73"/>
      <c r="P88" s="73"/>
      <c r="Q88" s="73"/>
      <c r="R88" s="73"/>
      <c r="S88" s="73"/>
      <c r="T88" s="73"/>
      <c r="U88" s="73"/>
      <c r="V88" s="73"/>
    </row>
    <row r="89" spans="1:22" s="74" customFormat="1">
      <c r="A89" s="462" t="s">
        <v>161</v>
      </c>
      <c r="B89" s="463"/>
      <c r="C89" s="463"/>
      <c r="D89" s="463"/>
      <c r="E89" s="463"/>
      <c r="F89" s="463"/>
      <c r="G89" s="463"/>
      <c r="H89" s="463"/>
      <c r="I89" s="464"/>
      <c r="J89" s="23"/>
      <c r="K89" s="23"/>
      <c r="L89" s="79"/>
      <c r="M89" s="73"/>
      <c r="N89" s="73"/>
      <c r="O89" s="73"/>
      <c r="P89" s="73"/>
      <c r="Q89" s="73"/>
      <c r="R89" s="73"/>
      <c r="S89" s="73"/>
      <c r="T89" s="73"/>
      <c r="U89" s="73"/>
      <c r="V89" s="73"/>
    </row>
    <row r="90" spans="1:22">
      <c r="A90" s="60" t="s">
        <v>119</v>
      </c>
      <c r="B90" s="458" t="s">
        <v>25</v>
      </c>
      <c r="C90" s="459"/>
      <c r="D90" s="459"/>
      <c r="E90" s="459"/>
      <c r="F90" s="459"/>
      <c r="G90" s="459"/>
      <c r="H90" s="459"/>
      <c r="I90" s="459"/>
      <c r="J90" s="459"/>
      <c r="K90" s="459"/>
      <c r="L90" s="83"/>
    </row>
    <row r="91" spans="1:22" s="53" customFormat="1">
      <c r="A91" s="48" t="s">
        <v>121</v>
      </c>
      <c r="B91" s="197">
        <v>9537</v>
      </c>
      <c r="C91" s="11" t="s">
        <v>239</v>
      </c>
      <c r="D91" s="50" t="s">
        <v>29</v>
      </c>
      <c r="E91" s="47">
        <f>E13</f>
        <v>55.08</v>
      </c>
      <c r="F91" s="47"/>
      <c r="G91" s="47"/>
      <c r="H91" s="47"/>
      <c r="I91" s="47"/>
      <c r="J91" s="47"/>
      <c r="K91" s="47"/>
    </row>
    <row r="92" spans="1:22">
      <c r="A92" s="479" t="s">
        <v>124</v>
      </c>
      <c r="B92" s="480"/>
      <c r="C92" s="480"/>
      <c r="D92" s="480"/>
      <c r="E92" s="480"/>
      <c r="F92" s="480"/>
      <c r="G92" s="480"/>
      <c r="H92" s="480"/>
      <c r="I92" s="481"/>
      <c r="J92" s="23"/>
      <c r="K92" s="39"/>
    </row>
    <row r="93" spans="1:22" s="26" customFormat="1">
      <c r="A93" s="20"/>
      <c r="B93" s="75"/>
      <c r="C93" s="460"/>
      <c r="D93" s="460"/>
      <c r="E93" s="460"/>
      <c r="F93" s="460"/>
      <c r="G93" s="460"/>
      <c r="H93" s="460"/>
      <c r="I93" s="460"/>
      <c r="J93" s="460"/>
      <c r="K93" s="461"/>
    </row>
    <row r="94" spans="1:22" s="69" customFormat="1" ht="15.75">
      <c r="A94" s="445" t="s">
        <v>14</v>
      </c>
      <c r="B94" s="446"/>
      <c r="C94" s="446"/>
      <c r="D94" s="446"/>
      <c r="E94" s="446"/>
      <c r="F94" s="446"/>
      <c r="G94" s="446"/>
      <c r="H94" s="446"/>
      <c r="I94" s="447"/>
      <c r="J94" s="68"/>
      <c r="K94" s="68"/>
    </row>
    <row r="96" spans="1:22">
      <c r="H96" s="43"/>
      <c r="I96" s="12"/>
    </row>
    <row r="97" spans="1:10">
      <c r="I97" s="31"/>
    </row>
    <row r="99" spans="1:10">
      <c r="A99" s="28"/>
      <c r="B99" s="28"/>
      <c r="C99" s="28"/>
      <c r="D99" s="29"/>
      <c r="E99" s="30"/>
      <c r="F99" s="28"/>
      <c r="G99" s="28"/>
      <c r="H99" s="28"/>
      <c r="I99" s="28"/>
      <c r="J99" s="28"/>
    </row>
    <row r="100" spans="1:10">
      <c r="A100" s="28"/>
      <c r="B100" s="28"/>
      <c r="C100" s="28"/>
      <c r="D100" s="29"/>
      <c r="E100" s="30"/>
      <c r="F100" s="28"/>
      <c r="G100" s="30"/>
      <c r="H100" s="28"/>
      <c r="I100" s="30"/>
      <c r="J100" s="30"/>
    </row>
    <row r="101" spans="1:10">
      <c r="A101" s="28"/>
      <c r="B101" s="28"/>
      <c r="C101" s="28"/>
      <c r="D101" s="29"/>
      <c r="E101" s="30"/>
      <c r="F101" s="28"/>
      <c r="G101" s="30"/>
      <c r="H101" s="28"/>
      <c r="I101" s="30"/>
      <c r="J101" s="30"/>
    </row>
    <row r="102" spans="1:10">
      <c r="A102" s="28"/>
      <c r="B102" s="28"/>
      <c r="C102" s="28"/>
      <c r="D102" s="29"/>
      <c r="E102" s="30"/>
      <c r="F102" s="28"/>
      <c r="G102" s="30"/>
      <c r="H102" s="28"/>
      <c r="I102" s="30"/>
      <c r="J102" s="30"/>
    </row>
    <row r="103" spans="1:10">
      <c r="A103" s="28"/>
      <c r="B103" s="28"/>
      <c r="C103" s="28"/>
      <c r="D103" s="29"/>
      <c r="E103" s="30"/>
      <c r="F103" s="28"/>
      <c r="G103" s="30"/>
      <c r="H103" s="28"/>
      <c r="I103" s="30"/>
      <c r="J103" s="30"/>
    </row>
    <row r="104" spans="1:10">
      <c r="A104" s="28"/>
      <c r="B104" s="28"/>
      <c r="C104" s="28"/>
      <c r="D104" s="29"/>
      <c r="E104" s="30"/>
      <c r="F104" s="28"/>
      <c r="G104" s="30"/>
      <c r="H104" s="28"/>
      <c r="I104" s="30"/>
      <c r="J104" s="30"/>
    </row>
    <row r="105" spans="1:10">
      <c r="A105" s="28"/>
      <c r="B105" s="28"/>
      <c r="C105" s="28"/>
      <c r="D105" s="29"/>
      <c r="E105" s="30"/>
      <c r="F105" s="28"/>
      <c r="G105" s="30"/>
      <c r="H105" s="28"/>
      <c r="I105" s="30"/>
      <c r="J105" s="30"/>
    </row>
    <row r="106" spans="1:10">
      <c r="A106" s="28"/>
      <c r="B106" s="28"/>
      <c r="C106" s="28"/>
      <c r="D106" s="29"/>
      <c r="E106" s="30"/>
      <c r="F106" s="28"/>
      <c r="G106" s="30"/>
      <c r="H106" s="28"/>
      <c r="I106" s="30"/>
      <c r="J106" s="30"/>
    </row>
    <row r="107" spans="1:10">
      <c r="A107" s="28"/>
      <c r="B107" s="28"/>
      <c r="C107" s="28"/>
      <c r="D107" s="29"/>
      <c r="E107" s="30"/>
      <c r="F107" s="28"/>
      <c r="G107" s="30"/>
      <c r="H107" s="28"/>
      <c r="I107" s="30"/>
      <c r="J107" s="30"/>
    </row>
    <row r="108" spans="1:10">
      <c r="A108" s="31"/>
      <c r="B108" s="31"/>
      <c r="C108" s="31"/>
      <c r="D108" s="32"/>
      <c r="E108" s="45"/>
      <c r="F108" s="31"/>
      <c r="G108" s="31"/>
      <c r="H108" s="31"/>
      <c r="I108" s="31"/>
      <c r="J108" s="31"/>
    </row>
    <row r="109" spans="1:10">
      <c r="A109" s="28"/>
      <c r="B109" s="28"/>
      <c r="C109" s="28"/>
      <c r="D109" s="29"/>
      <c r="E109" s="30"/>
      <c r="F109" s="28"/>
      <c r="G109" s="30"/>
      <c r="H109" s="28"/>
      <c r="I109" s="30"/>
      <c r="J109" s="30"/>
    </row>
    <row r="110" spans="1:10">
      <c r="A110" s="28"/>
      <c r="B110" s="28"/>
      <c r="C110" s="28"/>
      <c r="D110" s="29"/>
      <c r="E110" s="30"/>
      <c r="F110" s="28"/>
      <c r="G110" s="30"/>
      <c r="H110" s="28"/>
      <c r="I110" s="30"/>
      <c r="J110" s="30"/>
    </row>
    <row r="111" spans="1:10">
      <c r="A111" s="28"/>
      <c r="B111" s="28"/>
      <c r="C111" s="28"/>
      <c r="D111" s="29"/>
      <c r="E111" s="30"/>
      <c r="F111" s="30"/>
      <c r="G111" s="30"/>
      <c r="H111" s="28"/>
      <c r="I111" s="30"/>
      <c r="J111" s="30"/>
    </row>
    <row r="112" spans="1:10">
      <c r="A112" s="28"/>
      <c r="B112" s="28"/>
      <c r="C112" s="28"/>
      <c r="D112" s="29"/>
      <c r="E112" s="30"/>
      <c r="F112" s="30"/>
      <c r="G112" s="30"/>
      <c r="H112" s="28"/>
      <c r="I112" s="30"/>
      <c r="J112" s="30"/>
    </row>
    <row r="113" spans="1:11">
      <c r="A113" s="28"/>
      <c r="B113" s="28"/>
      <c r="C113" s="28"/>
      <c r="D113" s="29"/>
      <c r="E113" s="30"/>
      <c r="F113" s="30"/>
      <c r="G113" s="30"/>
      <c r="H113" s="28"/>
      <c r="I113" s="30"/>
      <c r="J113" s="30"/>
    </row>
    <row r="114" spans="1:11">
      <c r="A114" s="28"/>
      <c r="B114" s="28"/>
      <c r="C114" s="28"/>
      <c r="D114" s="29"/>
      <c r="E114" s="30"/>
      <c r="F114" s="30"/>
      <c r="G114" s="30"/>
      <c r="H114" s="28"/>
      <c r="I114" s="30"/>
      <c r="J114" s="30"/>
    </row>
    <row r="115" spans="1:11">
      <c r="A115" s="28"/>
      <c r="B115" s="28"/>
      <c r="C115" s="28"/>
      <c r="D115" s="29"/>
      <c r="E115" s="30"/>
      <c r="F115" s="30"/>
      <c r="G115" s="30"/>
      <c r="H115" s="28"/>
      <c r="I115" s="30"/>
      <c r="J115" s="30"/>
    </row>
    <row r="116" spans="1:11">
      <c r="A116" s="28"/>
      <c r="B116" s="28"/>
      <c r="C116" s="28"/>
      <c r="D116" s="29"/>
      <c r="E116" s="30"/>
      <c r="F116" s="30"/>
      <c r="G116" s="30"/>
      <c r="H116" s="28"/>
      <c r="I116" s="30"/>
      <c r="J116" s="30"/>
    </row>
    <row r="117" spans="1:11">
      <c r="A117" s="28"/>
      <c r="B117" s="28"/>
      <c r="C117" s="28"/>
      <c r="D117" s="29"/>
      <c r="E117" s="30"/>
      <c r="F117" s="30"/>
      <c r="G117" s="30"/>
      <c r="H117" s="30"/>
      <c r="I117" s="30"/>
      <c r="J117" s="30"/>
    </row>
    <row r="118" spans="1:11">
      <c r="A118" s="28"/>
      <c r="B118" s="28"/>
      <c r="C118" s="28"/>
      <c r="D118" s="29"/>
      <c r="E118" s="30"/>
      <c r="F118" s="28"/>
      <c r="G118" s="30"/>
      <c r="H118" s="28"/>
      <c r="I118" s="30"/>
      <c r="J118" s="30"/>
    </row>
    <row r="119" spans="1:11">
      <c r="A119" s="28"/>
      <c r="B119" s="28"/>
      <c r="C119" s="28"/>
      <c r="D119" s="29"/>
      <c r="E119" s="30"/>
      <c r="F119" s="30"/>
      <c r="G119" s="30"/>
      <c r="H119" s="28"/>
      <c r="I119" s="30"/>
      <c r="J119" s="30"/>
    </row>
    <row r="120" spans="1:11">
      <c r="A120" s="28"/>
      <c r="B120" s="28"/>
      <c r="C120" s="28"/>
      <c r="D120" s="29"/>
      <c r="E120" s="30"/>
      <c r="F120" s="30"/>
      <c r="G120" s="30"/>
      <c r="H120" s="28"/>
      <c r="I120" s="30"/>
      <c r="J120" s="30"/>
    </row>
    <row r="121" spans="1:11">
      <c r="A121" s="28"/>
      <c r="B121" s="28"/>
      <c r="C121" s="28"/>
      <c r="D121" s="29"/>
      <c r="E121" s="30"/>
      <c r="F121" s="28"/>
      <c r="G121" s="30"/>
      <c r="H121" s="28"/>
      <c r="I121" s="30"/>
      <c r="J121" s="30"/>
      <c r="K121" s="26"/>
    </row>
    <row r="122" spans="1:11">
      <c r="A122" s="33"/>
      <c r="B122" s="33"/>
      <c r="C122" s="34"/>
      <c r="D122" s="35"/>
      <c r="E122" s="46"/>
      <c r="F122" s="33"/>
      <c r="G122" s="30"/>
      <c r="H122" s="33"/>
      <c r="I122" s="30"/>
      <c r="J122" s="30"/>
    </row>
    <row r="123" spans="1:11">
      <c r="A123" s="28"/>
      <c r="B123" s="28"/>
      <c r="C123" s="28"/>
      <c r="D123" s="29"/>
      <c r="E123" s="30"/>
      <c r="F123" s="28"/>
      <c r="G123" s="30"/>
      <c r="H123" s="28"/>
      <c r="I123" s="30"/>
      <c r="J123" s="30"/>
    </row>
    <row r="124" spans="1:11">
      <c r="A124" s="28"/>
      <c r="B124" s="28"/>
      <c r="C124" s="28"/>
      <c r="D124" s="29"/>
      <c r="E124" s="30"/>
      <c r="F124" s="28"/>
      <c r="G124" s="30"/>
      <c r="H124" s="28"/>
      <c r="I124" s="30"/>
      <c r="J124" s="30"/>
    </row>
    <row r="125" spans="1:11">
      <c r="A125" s="28"/>
      <c r="B125" s="28"/>
      <c r="C125" s="28"/>
      <c r="D125" s="29"/>
      <c r="E125" s="30"/>
      <c r="F125" s="28"/>
      <c r="G125" s="30"/>
      <c r="H125" s="28"/>
      <c r="I125" s="30"/>
      <c r="J125" s="30"/>
    </row>
    <row r="126" spans="1:11">
      <c r="A126" s="28"/>
      <c r="B126" s="28"/>
      <c r="C126" s="28"/>
      <c r="D126" s="29"/>
      <c r="E126" s="30"/>
      <c r="F126" s="28"/>
      <c r="G126" s="30"/>
      <c r="H126" s="28"/>
      <c r="I126" s="30"/>
      <c r="J126" s="30"/>
    </row>
    <row r="127" spans="1:11">
      <c r="A127" s="28"/>
      <c r="B127" s="28"/>
      <c r="C127" s="28"/>
      <c r="D127" s="29"/>
      <c r="E127" s="30"/>
      <c r="F127" s="30"/>
      <c r="G127" s="30"/>
      <c r="H127" s="30"/>
      <c r="I127" s="30"/>
      <c r="J127" s="30"/>
    </row>
    <row r="128" spans="1:11">
      <c r="A128" s="31"/>
      <c r="B128" s="31"/>
      <c r="C128" s="31"/>
      <c r="D128" s="32"/>
      <c r="E128" s="45"/>
      <c r="F128" s="31"/>
      <c r="G128" s="31"/>
      <c r="H128" s="31"/>
      <c r="I128" s="31"/>
      <c r="J128" s="31"/>
    </row>
    <row r="129" spans="1:11">
      <c r="A129" s="31"/>
      <c r="B129" s="31"/>
      <c r="C129" s="31"/>
    </row>
    <row r="130" spans="1:11">
      <c r="A130" s="28"/>
      <c r="B130" s="28"/>
      <c r="C130" s="29"/>
      <c r="D130" s="28"/>
      <c r="E130" s="30"/>
      <c r="F130" s="28"/>
      <c r="G130" s="28"/>
      <c r="H130" s="28"/>
      <c r="I130" s="28"/>
      <c r="J130" s="28"/>
      <c r="K130" s="12"/>
    </row>
    <row r="131" spans="1:11">
      <c r="A131" s="28"/>
      <c r="B131" s="28"/>
      <c r="C131" s="28"/>
      <c r="D131" s="29"/>
      <c r="E131" s="30"/>
      <c r="F131" s="30"/>
      <c r="G131" s="30"/>
      <c r="H131" s="30"/>
      <c r="I131" s="30"/>
      <c r="J131" s="30"/>
      <c r="K131" s="28"/>
    </row>
    <row r="132" spans="1:11">
      <c r="A132" s="28"/>
      <c r="B132" s="28"/>
      <c r="C132" s="28"/>
      <c r="D132" s="29"/>
      <c r="E132" s="30"/>
      <c r="F132" s="30"/>
      <c r="G132" s="30"/>
      <c r="H132" s="30"/>
      <c r="I132" s="30"/>
      <c r="J132" s="30"/>
      <c r="K132" s="28"/>
    </row>
    <row r="133" spans="1:11">
      <c r="A133" s="28"/>
      <c r="B133" s="28"/>
      <c r="C133" s="28"/>
      <c r="D133" s="29"/>
      <c r="E133" s="30"/>
      <c r="F133" s="30"/>
      <c r="G133" s="30"/>
      <c r="H133" s="30"/>
      <c r="I133" s="30"/>
      <c r="J133" s="30"/>
      <c r="K133" s="28"/>
    </row>
    <row r="134" spans="1:11">
      <c r="A134" s="28"/>
      <c r="B134" s="28"/>
      <c r="C134" s="28"/>
      <c r="D134" s="29"/>
      <c r="E134" s="30"/>
      <c r="F134" s="30"/>
      <c r="G134" s="30"/>
      <c r="H134" s="30"/>
      <c r="I134" s="30"/>
      <c r="J134" s="30"/>
      <c r="K134" s="28"/>
    </row>
    <row r="135" spans="1:11">
      <c r="A135" s="28"/>
      <c r="B135" s="28"/>
      <c r="C135" s="28"/>
      <c r="D135" s="29"/>
      <c r="E135" s="30"/>
      <c r="F135" s="30"/>
      <c r="G135" s="30"/>
      <c r="H135" s="30"/>
      <c r="I135" s="30"/>
      <c r="J135" s="30"/>
      <c r="K135" s="28"/>
    </row>
    <row r="136" spans="1:11">
      <c r="A136" s="28"/>
      <c r="B136" s="28"/>
      <c r="C136" s="28"/>
      <c r="D136" s="29"/>
      <c r="E136" s="30"/>
      <c r="F136" s="30"/>
      <c r="G136" s="30"/>
      <c r="H136" s="30"/>
      <c r="I136" s="30"/>
      <c r="J136" s="30"/>
      <c r="K136" s="28"/>
    </row>
    <row r="137" spans="1:11">
      <c r="A137" s="28"/>
      <c r="B137" s="28"/>
      <c r="C137" s="28"/>
      <c r="D137" s="29"/>
      <c r="E137" s="30"/>
      <c r="F137" s="30"/>
      <c r="G137" s="30"/>
      <c r="H137" s="30"/>
      <c r="I137" s="30"/>
      <c r="J137" s="30"/>
      <c r="K137" s="28"/>
    </row>
    <row r="138" spans="1:11">
      <c r="A138" s="28"/>
      <c r="B138" s="28"/>
      <c r="C138" s="28"/>
      <c r="D138" s="29"/>
      <c r="E138" s="30"/>
      <c r="F138" s="30"/>
      <c r="G138" s="30"/>
      <c r="H138" s="30"/>
      <c r="I138" s="30"/>
      <c r="J138" s="30"/>
      <c r="K138" s="28"/>
    </row>
    <row r="139" spans="1:11">
      <c r="A139" s="28"/>
      <c r="B139" s="28"/>
      <c r="C139" s="28"/>
      <c r="D139" s="29"/>
      <c r="E139" s="30"/>
      <c r="F139" s="30"/>
      <c r="G139" s="30"/>
      <c r="H139" s="30"/>
      <c r="I139" s="30"/>
      <c r="J139" s="30"/>
      <c r="K139" s="28"/>
    </row>
    <row r="140" spans="1:11">
      <c r="A140" s="28"/>
      <c r="B140" s="28"/>
      <c r="C140" s="28"/>
      <c r="D140" s="29"/>
      <c r="E140" s="30"/>
      <c r="F140" s="30"/>
      <c r="G140" s="30"/>
      <c r="H140" s="30"/>
      <c r="I140" s="30"/>
      <c r="J140" s="30"/>
      <c r="K140" s="28"/>
    </row>
    <row r="141" spans="1:11">
      <c r="A141" s="28"/>
      <c r="B141" s="28"/>
      <c r="C141" s="28"/>
      <c r="D141" s="29"/>
      <c r="E141" s="30"/>
      <c r="F141" s="30"/>
      <c r="G141" s="30"/>
      <c r="H141" s="30"/>
      <c r="I141" s="30"/>
      <c r="J141" s="30"/>
      <c r="K141" s="28"/>
    </row>
    <row r="142" spans="1:11">
      <c r="A142" s="28"/>
      <c r="B142" s="28"/>
      <c r="C142" s="28"/>
      <c r="D142" s="29"/>
      <c r="E142" s="30"/>
      <c r="F142" s="30"/>
      <c r="G142" s="30"/>
      <c r="H142" s="30"/>
      <c r="I142" s="30"/>
      <c r="J142" s="30"/>
      <c r="K142" s="28"/>
    </row>
    <row r="143" spans="1:11">
      <c r="A143" s="28"/>
      <c r="B143" s="28"/>
      <c r="C143" s="28"/>
      <c r="D143" s="29"/>
      <c r="E143" s="30"/>
      <c r="F143" s="30"/>
      <c r="G143" s="30"/>
      <c r="H143" s="30"/>
      <c r="I143" s="30"/>
      <c r="J143" s="30"/>
      <c r="K143" s="28"/>
    </row>
    <row r="144" spans="1:11">
      <c r="A144" s="28"/>
      <c r="B144" s="28"/>
      <c r="C144" s="28"/>
      <c r="D144" s="29"/>
      <c r="E144" s="30"/>
      <c r="F144" s="30"/>
      <c r="G144" s="30"/>
      <c r="H144" s="30"/>
      <c r="I144" s="30"/>
      <c r="J144" s="30"/>
      <c r="K144" s="28"/>
    </row>
    <row r="145" spans="1:11">
      <c r="A145" s="28"/>
      <c r="B145" s="28"/>
      <c r="C145" s="28"/>
      <c r="D145" s="29"/>
      <c r="E145" s="30"/>
      <c r="F145" s="30"/>
      <c r="G145" s="30"/>
      <c r="H145" s="30"/>
      <c r="I145" s="30"/>
      <c r="J145" s="30"/>
      <c r="K145" s="28"/>
    </row>
    <row r="146" spans="1:11">
      <c r="A146" s="28"/>
      <c r="B146" s="28"/>
      <c r="C146" s="28"/>
      <c r="D146" s="29"/>
      <c r="E146" s="30"/>
      <c r="F146" s="30"/>
      <c r="G146" s="30"/>
      <c r="H146" s="30"/>
      <c r="I146" s="30"/>
      <c r="J146" s="30"/>
      <c r="K146" s="28"/>
    </row>
    <row r="147" spans="1:11">
      <c r="A147" s="28"/>
      <c r="B147" s="28"/>
      <c r="C147" s="40"/>
      <c r="D147" s="29"/>
      <c r="E147" s="41"/>
      <c r="F147" s="30"/>
      <c r="G147" s="30"/>
      <c r="H147" s="30"/>
      <c r="I147" s="30"/>
      <c r="J147" s="30"/>
      <c r="K147" s="28"/>
    </row>
    <row r="148" spans="1:11">
      <c r="A148" s="28"/>
      <c r="B148" s="28"/>
      <c r="C148" s="40"/>
      <c r="D148" s="29"/>
      <c r="E148" s="41"/>
      <c r="F148" s="30"/>
      <c r="G148" s="30"/>
      <c r="H148" s="30"/>
      <c r="I148" s="30"/>
      <c r="J148" s="30"/>
      <c r="K148" s="28"/>
    </row>
    <row r="149" spans="1:11">
      <c r="A149" s="28"/>
      <c r="B149" s="28"/>
      <c r="C149" s="40"/>
      <c r="D149" s="29"/>
      <c r="E149" s="41"/>
      <c r="F149" s="30"/>
      <c r="G149" s="30"/>
      <c r="H149" s="30"/>
      <c r="I149" s="30"/>
      <c r="J149" s="30"/>
      <c r="K149" s="28"/>
    </row>
    <row r="150" spans="1:11">
      <c r="A150" s="28"/>
      <c r="B150" s="28"/>
      <c r="C150" s="40"/>
      <c r="D150" s="29"/>
      <c r="E150" s="41"/>
      <c r="F150" s="30"/>
      <c r="G150" s="30"/>
      <c r="H150" s="30"/>
      <c r="I150" s="30"/>
      <c r="J150" s="30"/>
      <c r="K150" s="28"/>
    </row>
    <row r="151" spans="1:11">
      <c r="A151" s="28"/>
      <c r="B151" s="28"/>
      <c r="C151" s="28"/>
      <c r="D151" s="29"/>
      <c r="E151" s="30"/>
      <c r="F151" s="30"/>
      <c r="G151" s="30"/>
      <c r="H151" s="30"/>
      <c r="I151" s="30"/>
      <c r="J151" s="30"/>
      <c r="K151" s="28"/>
    </row>
    <row r="152" spans="1:11">
      <c r="A152" s="28"/>
      <c r="B152" s="28"/>
      <c r="C152" s="28"/>
      <c r="D152" s="42"/>
      <c r="E152" s="30"/>
      <c r="F152" s="30"/>
      <c r="G152" s="30"/>
      <c r="H152" s="30"/>
      <c r="I152" s="30"/>
      <c r="J152" s="30"/>
      <c r="K152" s="28"/>
    </row>
    <row r="153" spans="1:11">
      <c r="A153" s="28"/>
      <c r="B153" s="28"/>
      <c r="C153" s="28"/>
      <c r="D153" s="29"/>
      <c r="E153" s="30"/>
      <c r="F153" s="30"/>
      <c r="G153" s="30"/>
      <c r="H153" s="30"/>
      <c r="I153" s="30"/>
      <c r="J153" s="30"/>
      <c r="K153" s="28"/>
    </row>
    <row r="154" spans="1:11">
      <c r="A154" s="28"/>
      <c r="B154" s="28"/>
      <c r="C154" s="28"/>
      <c r="D154" s="29"/>
      <c r="E154" s="30"/>
      <c r="F154" s="30"/>
      <c r="G154" s="30"/>
      <c r="H154" s="30"/>
      <c r="I154" s="30"/>
      <c r="J154" s="30"/>
      <c r="K154" s="28"/>
    </row>
    <row r="155" spans="1:11">
      <c r="A155" s="28"/>
      <c r="B155" s="28"/>
      <c r="C155" s="28"/>
      <c r="D155" s="29"/>
      <c r="E155" s="30"/>
      <c r="F155" s="30"/>
      <c r="G155" s="30"/>
      <c r="H155" s="30"/>
      <c r="I155" s="30"/>
      <c r="J155" s="30"/>
      <c r="K155" s="28"/>
    </row>
    <row r="156" spans="1:11">
      <c r="A156" s="28"/>
      <c r="B156" s="28"/>
      <c r="C156" s="28"/>
      <c r="D156" s="29"/>
      <c r="E156" s="30"/>
      <c r="F156" s="30"/>
      <c r="G156" s="30"/>
      <c r="H156" s="30"/>
      <c r="I156" s="30"/>
      <c r="J156" s="30"/>
      <c r="K156" s="28"/>
    </row>
    <row r="157" spans="1:11">
      <c r="A157" s="28"/>
      <c r="B157" s="28"/>
      <c r="C157" s="28"/>
      <c r="D157" s="29"/>
      <c r="E157" s="30"/>
      <c r="F157" s="30"/>
      <c r="G157" s="30"/>
      <c r="H157" s="30"/>
      <c r="I157" s="30"/>
      <c r="J157" s="30"/>
      <c r="K157" s="28"/>
    </row>
    <row r="158" spans="1:11">
      <c r="A158" s="28"/>
      <c r="B158" s="28"/>
      <c r="C158" s="28"/>
      <c r="D158" s="29"/>
      <c r="E158" s="30"/>
      <c r="F158" s="30"/>
      <c r="G158" s="30"/>
      <c r="H158" s="30"/>
      <c r="I158" s="30"/>
      <c r="J158" s="30"/>
      <c r="K158" s="28"/>
    </row>
    <row r="159" spans="1:11">
      <c r="A159" s="28"/>
      <c r="B159" s="28"/>
      <c r="C159" s="31"/>
      <c r="D159" s="29"/>
      <c r="E159" s="30"/>
      <c r="F159" s="30"/>
      <c r="G159" s="30"/>
      <c r="H159" s="30"/>
      <c r="I159" s="30"/>
      <c r="J159" s="30"/>
      <c r="K159" s="28"/>
    </row>
    <row r="160" spans="1:11">
      <c r="A160" s="28"/>
      <c r="B160" s="28"/>
      <c r="C160" s="28"/>
      <c r="D160" s="29"/>
      <c r="E160" s="30"/>
      <c r="F160" s="30"/>
      <c r="G160" s="30"/>
      <c r="H160" s="30"/>
      <c r="I160" s="30"/>
      <c r="J160" s="30"/>
      <c r="K160" s="28"/>
    </row>
    <row r="161" spans="1:11">
      <c r="A161" s="28"/>
      <c r="B161" s="28"/>
      <c r="C161" s="28"/>
      <c r="D161" s="29"/>
      <c r="E161" s="30"/>
      <c r="F161" s="30"/>
      <c r="G161" s="30"/>
      <c r="H161" s="30"/>
      <c r="I161" s="30"/>
      <c r="J161" s="30"/>
      <c r="K161" s="28"/>
    </row>
    <row r="162" spans="1:11">
      <c r="A162" s="28"/>
      <c r="B162" s="28"/>
      <c r="C162" s="28"/>
      <c r="D162" s="29"/>
      <c r="E162" s="30"/>
      <c r="F162" s="30"/>
      <c r="G162" s="30"/>
      <c r="H162" s="30"/>
      <c r="I162" s="30"/>
      <c r="J162" s="30"/>
      <c r="K162" s="28"/>
    </row>
    <row r="163" spans="1:11">
      <c r="A163" s="28"/>
      <c r="B163" s="28"/>
      <c r="C163" s="28"/>
      <c r="D163" s="29"/>
      <c r="E163" s="30"/>
      <c r="F163" s="30"/>
      <c r="G163" s="30"/>
      <c r="H163" s="30"/>
      <c r="I163" s="30"/>
      <c r="J163" s="30"/>
      <c r="K163" s="28"/>
    </row>
    <row r="164" spans="1:11">
      <c r="A164" s="28"/>
      <c r="B164" s="28"/>
      <c r="C164" s="28"/>
      <c r="D164" s="29"/>
      <c r="E164" s="30"/>
      <c r="F164" s="30"/>
      <c r="G164" s="30"/>
      <c r="H164" s="30"/>
      <c r="I164" s="30"/>
      <c r="J164" s="30"/>
      <c r="K164" s="28"/>
    </row>
    <row r="165" spans="1:11">
      <c r="A165" s="42"/>
      <c r="B165" s="42"/>
      <c r="C165" s="12"/>
      <c r="D165"/>
      <c r="G165" s="27"/>
    </row>
    <row r="166" spans="1:11">
      <c r="A166" s="42"/>
      <c r="B166" s="42"/>
      <c r="C166" s="12"/>
      <c r="D166"/>
    </row>
    <row r="167" spans="1:11">
      <c r="A167" s="1"/>
      <c r="B167" s="1"/>
      <c r="D167"/>
    </row>
  </sheetData>
  <mergeCells count="48">
    <mergeCell ref="A19:I19"/>
    <mergeCell ref="A1:K1"/>
    <mergeCell ref="D5:G5"/>
    <mergeCell ref="D7:G7"/>
    <mergeCell ref="A9:A10"/>
    <mergeCell ref="B9:B10"/>
    <mergeCell ref="C9:C10"/>
    <mergeCell ref="D9:D10"/>
    <mergeCell ref="E9:E10"/>
    <mergeCell ref="F9:G9"/>
    <mergeCell ref="H9:I9"/>
    <mergeCell ref="L9:O9"/>
    <mergeCell ref="P9:T9"/>
    <mergeCell ref="B11:K11"/>
    <mergeCell ref="A14:I14"/>
    <mergeCell ref="B15:K15"/>
    <mergeCell ref="A59:I59"/>
    <mergeCell ref="B20:K20"/>
    <mergeCell ref="A29:I29"/>
    <mergeCell ref="B30:K30"/>
    <mergeCell ref="A41:I41"/>
    <mergeCell ref="B42:K42"/>
    <mergeCell ref="A44:I44"/>
    <mergeCell ref="B45:K45"/>
    <mergeCell ref="A47:I47"/>
    <mergeCell ref="B48:K48"/>
    <mergeCell ref="A52:I52"/>
    <mergeCell ref="B53:K53"/>
    <mergeCell ref="A81:I81"/>
    <mergeCell ref="B60:K60"/>
    <mergeCell ref="A62:I62"/>
    <mergeCell ref="B63:K63"/>
    <mergeCell ref="A65:I65"/>
    <mergeCell ref="B66:K66"/>
    <mergeCell ref="A68:I68"/>
    <mergeCell ref="B69:K69"/>
    <mergeCell ref="A72:I72"/>
    <mergeCell ref="B73:K73"/>
    <mergeCell ref="A78:I78"/>
    <mergeCell ref="B79:K79"/>
    <mergeCell ref="C93:K93"/>
    <mergeCell ref="A94:I94"/>
    <mergeCell ref="B82:K82"/>
    <mergeCell ref="A86:I86"/>
    <mergeCell ref="B87:K87"/>
    <mergeCell ref="A89:I89"/>
    <mergeCell ref="B90:K90"/>
    <mergeCell ref="A92:I92"/>
  </mergeCells>
  <pageMargins left="0.51181102362204722" right="0.51181102362204722" top="0.78740157480314965" bottom="0.78740157480314965" header="0.31496062992125984" footer="0.31496062992125984"/>
  <pageSetup paperSize="9" scale="71" fitToHeight="10" orientation="landscape" r:id="rId1"/>
  <headerFooter>
    <oddFooter>&amp;LTREINAMENTO&amp;CPágina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69"/>
  <sheetViews>
    <sheetView zoomScale="90" zoomScaleNormal="90" workbookViewId="0">
      <selection activeCell="A11" sqref="A11:XFD11"/>
    </sheetView>
  </sheetViews>
  <sheetFormatPr defaultRowHeight="15"/>
  <cols>
    <col min="1" max="1" width="5.7109375" style="2" customWidth="1"/>
    <col min="2" max="2" width="11.28515625" style="2" customWidth="1"/>
    <col min="3" max="3" width="63.7109375" customWidth="1"/>
    <col min="4" max="4" width="9.140625" style="1"/>
    <col min="5" max="5" width="10.7109375" style="27" customWidth="1"/>
    <col min="6" max="9" width="15.7109375" customWidth="1"/>
    <col min="10" max="11" width="13.140625" customWidth="1"/>
    <col min="12" max="12" width="9.42578125" bestFit="1" customWidth="1"/>
    <col min="14" max="14" width="12.5703125" customWidth="1"/>
    <col min="19" max="19" width="12.85546875" customWidth="1"/>
  </cols>
  <sheetData>
    <row r="1" spans="1:20" s="12" customFormat="1" ht="18.75">
      <c r="A1" s="490" t="s">
        <v>30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20">
      <c r="D2" s="3"/>
      <c r="E2" s="44"/>
      <c r="F2" s="1"/>
      <c r="G2" s="1"/>
      <c r="H2" s="1"/>
    </row>
    <row r="3" spans="1:20" ht="18.75">
      <c r="D3" s="51" t="s">
        <v>548</v>
      </c>
      <c r="E3" s="52"/>
      <c r="F3" s="52"/>
      <c r="G3" s="52"/>
      <c r="H3" s="6"/>
      <c r="J3" s="19"/>
      <c r="K3" s="17"/>
    </row>
    <row r="4" spans="1:20">
      <c r="D4" s="66" t="s">
        <v>511</v>
      </c>
      <c r="E4" s="67"/>
      <c r="F4" s="65"/>
      <c r="G4" s="65"/>
      <c r="H4" s="7"/>
      <c r="J4" s="18"/>
      <c r="K4" s="17"/>
    </row>
    <row r="5" spans="1:20">
      <c r="D5" s="491" t="s">
        <v>736</v>
      </c>
      <c r="E5" s="491"/>
      <c r="F5" s="491"/>
      <c r="G5" s="491"/>
      <c r="H5" s="7"/>
      <c r="J5" s="18"/>
      <c r="K5" s="17"/>
    </row>
    <row r="6" spans="1:20">
      <c r="D6" s="55" t="s">
        <v>729</v>
      </c>
      <c r="E6" s="55"/>
      <c r="F6" s="55"/>
      <c r="G6" s="55"/>
      <c r="H6" s="7"/>
      <c r="J6" s="18"/>
      <c r="K6" s="17"/>
    </row>
    <row r="7" spans="1:20">
      <c r="D7" s="491" t="s">
        <v>661</v>
      </c>
      <c r="E7" s="491"/>
      <c r="F7" s="491"/>
      <c r="G7" s="491"/>
      <c r="H7" s="7"/>
      <c r="J7" s="18"/>
      <c r="K7" s="17"/>
    </row>
    <row r="8" spans="1:20">
      <c r="J8" s="17"/>
      <c r="K8" s="17"/>
    </row>
    <row r="9" spans="1:20" s="12" customFormat="1">
      <c r="A9" s="471" t="s">
        <v>0</v>
      </c>
      <c r="B9" s="471" t="s">
        <v>125</v>
      </c>
      <c r="C9" s="471" t="s">
        <v>1</v>
      </c>
      <c r="D9" s="471" t="s">
        <v>2</v>
      </c>
      <c r="E9" s="500" t="s">
        <v>3</v>
      </c>
      <c r="F9" s="504" t="s">
        <v>22</v>
      </c>
      <c r="G9" s="505"/>
      <c r="H9" s="502" t="s">
        <v>23</v>
      </c>
      <c r="I9" s="503"/>
      <c r="J9" s="9" t="s">
        <v>19</v>
      </c>
      <c r="K9" s="16" t="s">
        <v>668</v>
      </c>
      <c r="L9" s="499"/>
      <c r="M9" s="499"/>
      <c r="N9" s="499"/>
      <c r="O9" s="499"/>
      <c r="P9" s="498"/>
      <c r="Q9" s="498"/>
      <c r="R9" s="498"/>
      <c r="S9" s="498"/>
      <c r="T9" s="498"/>
    </row>
    <row r="10" spans="1:20">
      <c r="A10" s="472"/>
      <c r="B10" s="472"/>
      <c r="C10" s="472"/>
      <c r="D10" s="472"/>
      <c r="E10" s="501"/>
      <c r="F10" s="244" t="s">
        <v>20</v>
      </c>
      <c r="G10" s="10" t="s">
        <v>21</v>
      </c>
      <c r="H10" s="10" t="s">
        <v>20</v>
      </c>
      <c r="I10" s="10" t="s">
        <v>21</v>
      </c>
      <c r="J10" s="10" t="s">
        <v>667</v>
      </c>
      <c r="K10" s="37">
        <f>E4</f>
        <v>0</v>
      </c>
      <c r="L10" s="14"/>
      <c r="M10" s="15"/>
      <c r="N10" s="15"/>
      <c r="O10" s="15"/>
      <c r="P10" s="14"/>
      <c r="Q10" s="14"/>
      <c r="R10" s="15"/>
      <c r="S10" s="15"/>
      <c r="T10" s="14"/>
    </row>
    <row r="11" spans="1:20">
      <c r="A11" s="60" t="s">
        <v>4</v>
      </c>
      <c r="B11" s="458" t="s">
        <v>24</v>
      </c>
      <c r="C11" s="459"/>
      <c r="D11" s="459"/>
      <c r="E11" s="459"/>
      <c r="F11" s="459"/>
      <c r="G11" s="459"/>
      <c r="H11" s="459"/>
      <c r="I11" s="459"/>
      <c r="J11" s="459"/>
      <c r="K11" s="473"/>
      <c r="L11" s="11"/>
      <c r="M11" s="11"/>
      <c r="N11" s="11"/>
      <c r="O11" s="11"/>
      <c r="P11" s="11"/>
      <c r="Q11" s="11"/>
      <c r="R11" s="11"/>
      <c r="S11" s="11"/>
      <c r="T11" s="11"/>
    </row>
    <row r="12" spans="1:20" s="53" customFormat="1">
      <c r="A12" s="48" t="s">
        <v>8</v>
      </c>
      <c r="B12" s="84">
        <v>73672</v>
      </c>
      <c r="C12" s="49" t="s">
        <v>163</v>
      </c>
      <c r="D12" s="50" t="s">
        <v>29</v>
      </c>
      <c r="E12" s="47">
        <v>44.88</v>
      </c>
      <c r="F12" s="47"/>
      <c r="G12" s="47"/>
      <c r="H12" s="47"/>
      <c r="I12" s="47"/>
      <c r="J12" s="47"/>
      <c r="K12" s="47"/>
      <c r="L12" s="11"/>
      <c r="M12" s="11"/>
      <c r="N12" s="11"/>
      <c r="O12" s="11"/>
      <c r="P12" s="11"/>
      <c r="Q12" s="11"/>
      <c r="R12" s="11"/>
      <c r="S12" s="11"/>
      <c r="T12" s="11"/>
    </row>
    <row r="13" spans="1:20" s="53" customFormat="1" ht="24.75">
      <c r="A13" s="48" t="s">
        <v>9</v>
      </c>
      <c r="B13" s="195" t="s">
        <v>176</v>
      </c>
      <c r="C13" s="58" t="s">
        <v>177</v>
      </c>
      <c r="D13" s="50" t="s">
        <v>29</v>
      </c>
      <c r="E13" s="47">
        <v>26</v>
      </c>
      <c r="F13" s="47"/>
      <c r="G13" s="47"/>
      <c r="H13" s="47"/>
      <c r="I13" s="47"/>
      <c r="J13" s="47"/>
      <c r="K13" s="47"/>
      <c r="L13" s="11"/>
      <c r="M13" s="11"/>
      <c r="N13" s="11"/>
      <c r="O13" s="11"/>
      <c r="P13" s="11"/>
      <c r="Q13" s="11"/>
      <c r="R13" s="11"/>
      <c r="S13" s="11"/>
      <c r="T13" s="11"/>
    </row>
    <row r="14" spans="1:20">
      <c r="A14" s="494" t="s">
        <v>15</v>
      </c>
      <c r="B14" s="494"/>
      <c r="C14" s="495"/>
      <c r="D14" s="495"/>
      <c r="E14" s="495"/>
      <c r="F14" s="495"/>
      <c r="G14" s="495"/>
      <c r="H14" s="495"/>
      <c r="I14" s="495"/>
      <c r="J14" s="22"/>
      <c r="K14" s="38"/>
      <c r="L14" s="11"/>
      <c r="M14" s="11"/>
      <c r="N14" s="11"/>
      <c r="O14" s="11"/>
      <c r="P14" s="11"/>
      <c r="Q14" s="11"/>
      <c r="R14" s="11"/>
      <c r="S14" s="11"/>
      <c r="T14" s="11"/>
    </row>
    <row r="15" spans="1:20">
      <c r="A15" s="60" t="s">
        <v>5</v>
      </c>
      <c r="B15" s="458" t="s">
        <v>103</v>
      </c>
      <c r="C15" s="459"/>
      <c r="D15" s="459"/>
      <c r="E15" s="459"/>
      <c r="F15" s="459"/>
      <c r="G15" s="459"/>
      <c r="H15" s="459"/>
      <c r="I15" s="459"/>
      <c r="J15" s="459"/>
      <c r="K15" s="473"/>
      <c r="L15" s="11"/>
      <c r="M15" s="11"/>
      <c r="N15" s="11"/>
      <c r="O15" s="11"/>
      <c r="P15" s="11"/>
      <c r="Q15" s="11"/>
      <c r="R15" s="11"/>
      <c r="S15" s="11"/>
      <c r="T15" s="11"/>
    </row>
    <row r="16" spans="1:20" s="91" customFormat="1">
      <c r="A16" s="137" t="s">
        <v>10</v>
      </c>
      <c r="B16" s="212" t="s">
        <v>178</v>
      </c>
      <c r="C16" s="247" t="s">
        <v>179</v>
      </c>
      <c r="D16" s="213" t="s">
        <v>47</v>
      </c>
      <c r="E16" s="54">
        <f>E12*0.5</f>
        <v>22.44</v>
      </c>
      <c r="F16" s="54"/>
      <c r="G16" s="54"/>
      <c r="H16" s="54"/>
      <c r="I16" s="54"/>
      <c r="J16" s="54"/>
      <c r="K16" s="54"/>
      <c r="L16" s="90"/>
      <c r="M16" s="90"/>
      <c r="N16" s="90"/>
      <c r="O16" s="90"/>
      <c r="P16" s="90"/>
      <c r="Q16" s="90"/>
      <c r="R16" s="90"/>
      <c r="S16" s="90"/>
      <c r="T16" s="90"/>
    </row>
    <row r="17" spans="1:22" s="91" customFormat="1">
      <c r="A17" s="137" t="s">
        <v>11</v>
      </c>
      <c r="B17" s="169" t="s">
        <v>493</v>
      </c>
      <c r="C17" s="232" t="s">
        <v>494</v>
      </c>
      <c r="D17" s="165" t="s">
        <v>29</v>
      </c>
      <c r="E17" s="117">
        <f>E12/2</f>
        <v>22.44</v>
      </c>
      <c r="F17" s="117"/>
      <c r="G17" s="117"/>
      <c r="H17" s="117"/>
      <c r="I17" s="117"/>
      <c r="J17" s="117"/>
      <c r="K17" s="54"/>
      <c r="L17" s="90"/>
      <c r="M17" s="90"/>
      <c r="N17" s="90"/>
      <c r="O17" s="90"/>
      <c r="P17" s="90"/>
      <c r="Q17" s="90"/>
      <c r="R17" s="90"/>
      <c r="S17" s="90"/>
      <c r="T17" s="90"/>
    </row>
    <row r="18" spans="1:22" s="155" customFormat="1" ht="14.25">
      <c r="A18" s="137" t="s">
        <v>442</v>
      </c>
      <c r="B18" s="170">
        <v>6430</v>
      </c>
      <c r="C18" s="232" t="s">
        <v>341</v>
      </c>
      <c r="D18" s="165" t="s">
        <v>47</v>
      </c>
      <c r="E18" s="117">
        <v>4.4400000000000004</v>
      </c>
      <c r="F18" s="117"/>
      <c r="G18" s="117"/>
      <c r="H18" s="117"/>
      <c r="I18" s="117"/>
      <c r="J18" s="117"/>
      <c r="K18" s="54"/>
      <c r="L18" s="114"/>
      <c r="M18" s="114"/>
      <c r="N18" s="114"/>
      <c r="O18" s="114"/>
      <c r="P18" s="114"/>
      <c r="Q18" s="114"/>
      <c r="R18" s="114"/>
      <c r="S18" s="114"/>
      <c r="T18" s="114"/>
    </row>
    <row r="19" spans="1:22">
      <c r="A19" s="562" t="s">
        <v>16</v>
      </c>
      <c r="B19" s="562"/>
      <c r="C19" s="563"/>
      <c r="D19" s="563"/>
      <c r="E19" s="563"/>
      <c r="F19" s="563"/>
      <c r="G19" s="563"/>
      <c r="H19" s="563"/>
      <c r="I19" s="563"/>
      <c r="J19" s="22"/>
      <c r="K19" s="39"/>
      <c r="L19" s="11"/>
      <c r="M19" s="11"/>
      <c r="N19" s="11"/>
      <c r="O19" s="11"/>
      <c r="P19" s="11"/>
      <c r="Q19" s="11"/>
      <c r="R19" s="11"/>
      <c r="S19" s="11"/>
      <c r="T19" s="11"/>
    </row>
    <row r="20" spans="1:22">
      <c r="A20" s="60" t="s">
        <v>105</v>
      </c>
      <c r="B20" s="458" t="s">
        <v>106</v>
      </c>
      <c r="C20" s="459"/>
      <c r="D20" s="459"/>
      <c r="E20" s="459"/>
      <c r="F20" s="459"/>
      <c r="G20" s="459"/>
      <c r="H20" s="459"/>
      <c r="I20" s="459"/>
      <c r="J20" s="459"/>
      <c r="K20" s="473"/>
      <c r="L20" s="11"/>
      <c r="M20" s="11"/>
      <c r="N20" s="11"/>
      <c r="O20" s="11"/>
      <c r="P20" s="11"/>
      <c r="Q20" s="11"/>
      <c r="R20" s="11"/>
      <c r="S20" s="11"/>
      <c r="T20" s="11"/>
    </row>
    <row r="21" spans="1:22" s="53" customFormat="1">
      <c r="A21" s="48" t="s">
        <v>12</v>
      </c>
      <c r="B21" s="48"/>
      <c r="C21" s="234" t="s">
        <v>287</v>
      </c>
      <c r="D21" s="173" t="s">
        <v>29</v>
      </c>
      <c r="E21" s="172">
        <f>(5.2+5.2+5+5)*0.75</f>
        <v>15.299999999999999</v>
      </c>
      <c r="F21" s="172"/>
      <c r="G21" s="172"/>
      <c r="H21" s="172"/>
      <c r="I21" s="172"/>
      <c r="J21" s="172"/>
      <c r="K21" s="172"/>
      <c r="L21" s="11"/>
      <c r="M21" s="11"/>
      <c r="N21" s="11"/>
      <c r="O21" s="11"/>
      <c r="P21" s="11"/>
      <c r="Q21" s="11"/>
      <c r="R21" s="11"/>
      <c r="S21" s="11"/>
      <c r="T21" s="11"/>
    </row>
    <row r="22" spans="1:22" s="53" customFormat="1">
      <c r="A22" s="48" t="s">
        <v>13</v>
      </c>
      <c r="B22" s="125" t="s">
        <v>904</v>
      </c>
      <c r="C22" s="234" t="s">
        <v>871</v>
      </c>
      <c r="D22" s="173" t="s">
        <v>47</v>
      </c>
      <c r="E22" s="172">
        <v>1.2</v>
      </c>
      <c r="F22" s="172"/>
      <c r="G22" s="172"/>
      <c r="H22" s="172"/>
      <c r="I22" s="172"/>
      <c r="J22" s="172"/>
      <c r="K22" s="172"/>
      <c r="L22" s="11"/>
      <c r="M22" s="11"/>
      <c r="N22" s="11"/>
      <c r="O22" s="11"/>
      <c r="P22" s="11"/>
      <c r="Q22" s="11"/>
      <c r="R22" s="11"/>
      <c r="S22" s="11"/>
      <c r="T22" s="11"/>
    </row>
    <row r="23" spans="1:22" s="53" customFormat="1">
      <c r="A23" s="48" t="s">
        <v>285</v>
      </c>
      <c r="B23" s="125" t="s">
        <v>905</v>
      </c>
      <c r="C23" s="234" t="s">
        <v>872</v>
      </c>
      <c r="D23" s="173" t="s">
        <v>47</v>
      </c>
      <c r="E23" s="172">
        <v>1.2</v>
      </c>
      <c r="F23" s="172"/>
      <c r="G23" s="172"/>
      <c r="H23" s="172"/>
      <c r="I23" s="172"/>
      <c r="J23" s="172"/>
      <c r="K23" s="172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53" customFormat="1">
      <c r="A24" s="48" t="s">
        <v>286</v>
      </c>
      <c r="B24" s="125"/>
      <c r="C24" s="234" t="s">
        <v>873</v>
      </c>
      <c r="D24" s="173" t="s">
        <v>47</v>
      </c>
      <c r="E24" s="172">
        <v>0.3</v>
      </c>
      <c r="F24" s="172"/>
      <c r="G24" s="172"/>
      <c r="H24" s="172"/>
      <c r="I24" s="172"/>
      <c r="J24" s="172"/>
      <c r="K24" s="172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53" customFormat="1">
      <c r="A25" s="48" t="s">
        <v>288</v>
      </c>
      <c r="B25" s="125"/>
      <c r="C25" s="234" t="s">
        <v>874</v>
      </c>
      <c r="D25" s="173" t="s">
        <v>47</v>
      </c>
      <c r="E25" s="172">
        <v>2.6</v>
      </c>
      <c r="F25" s="172"/>
      <c r="G25" s="172"/>
      <c r="H25" s="172"/>
      <c r="I25" s="172"/>
      <c r="J25" s="172"/>
      <c r="K25" s="172"/>
      <c r="L25" s="11"/>
      <c r="M25" s="11"/>
      <c r="N25" s="11"/>
      <c r="O25" s="11"/>
      <c r="P25" s="11"/>
      <c r="Q25" s="11"/>
      <c r="R25" s="11"/>
      <c r="S25" s="11"/>
      <c r="T25" s="11"/>
    </row>
    <row r="26" spans="1:22" s="53" customFormat="1">
      <c r="A26" s="48" t="s">
        <v>450</v>
      </c>
      <c r="B26" s="125" t="s">
        <v>905</v>
      </c>
      <c r="C26" s="234" t="s">
        <v>875</v>
      </c>
      <c r="D26" s="173" t="s">
        <v>47</v>
      </c>
      <c r="E26" s="172">
        <v>2.6</v>
      </c>
      <c r="F26" s="172"/>
      <c r="G26" s="172"/>
      <c r="H26" s="172"/>
      <c r="I26" s="172"/>
      <c r="J26" s="172"/>
      <c r="K26" s="172"/>
      <c r="L26" s="11"/>
      <c r="M26" s="11"/>
      <c r="N26" s="11"/>
      <c r="O26" s="11"/>
      <c r="P26" s="11"/>
      <c r="Q26" s="11"/>
      <c r="R26" s="11"/>
      <c r="S26" s="11"/>
      <c r="T26" s="11"/>
    </row>
    <row r="27" spans="1:22" s="53" customFormat="1">
      <c r="A27" s="48" t="s">
        <v>451</v>
      </c>
      <c r="B27" s="125"/>
      <c r="C27" s="234" t="s">
        <v>876</v>
      </c>
      <c r="D27" s="173" t="s">
        <v>29</v>
      </c>
      <c r="E27" s="172">
        <v>3.5</v>
      </c>
      <c r="F27" s="172"/>
      <c r="G27" s="172"/>
      <c r="H27" s="172"/>
      <c r="I27" s="172"/>
      <c r="J27" s="172"/>
      <c r="K27" s="172"/>
      <c r="L27" s="11"/>
      <c r="M27" s="11"/>
      <c r="N27" s="11"/>
      <c r="O27" s="11"/>
      <c r="P27" s="11"/>
      <c r="Q27" s="11"/>
      <c r="R27" s="11"/>
      <c r="S27" s="11"/>
      <c r="T27" s="11"/>
    </row>
    <row r="28" spans="1:22" s="53" customFormat="1" ht="24">
      <c r="A28" s="48" t="s">
        <v>452</v>
      </c>
      <c r="B28" s="415" t="s">
        <v>907</v>
      </c>
      <c r="C28" s="416" t="s">
        <v>877</v>
      </c>
      <c r="D28" s="173" t="s">
        <v>890</v>
      </c>
      <c r="E28" s="172">
        <v>38.6</v>
      </c>
      <c r="F28" s="172"/>
      <c r="G28" s="172"/>
      <c r="H28" s="172"/>
      <c r="I28" s="172"/>
      <c r="J28" s="172"/>
      <c r="K28" s="172"/>
      <c r="L28" s="11"/>
      <c r="M28" s="11"/>
      <c r="N28" s="11"/>
      <c r="O28" s="11"/>
      <c r="P28" s="11"/>
      <c r="Q28" s="11"/>
      <c r="R28" s="11"/>
      <c r="S28" s="11"/>
      <c r="T28" s="11"/>
    </row>
    <row r="29" spans="1:22">
      <c r="A29" s="479" t="s">
        <v>17</v>
      </c>
      <c r="B29" s="480"/>
      <c r="C29" s="480"/>
      <c r="D29" s="480"/>
      <c r="E29" s="480"/>
      <c r="F29" s="480"/>
      <c r="G29" s="480"/>
      <c r="H29" s="480"/>
      <c r="I29" s="481"/>
      <c r="J29" s="22"/>
      <c r="K29" s="22"/>
      <c r="L29" s="77"/>
      <c r="M29" s="11"/>
      <c r="N29" s="11"/>
      <c r="O29" s="11"/>
      <c r="P29" s="11"/>
      <c r="Q29" s="11"/>
      <c r="R29" s="11"/>
      <c r="S29" s="11"/>
      <c r="T29" s="11"/>
    </row>
    <row r="30" spans="1:22" s="74" customFormat="1">
      <c r="A30" s="70" t="s">
        <v>33</v>
      </c>
      <c r="B30" s="477" t="s">
        <v>107</v>
      </c>
      <c r="C30" s="478"/>
      <c r="D30" s="478"/>
      <c r="E30" s="478"/>
      <c r="F30" s="478"/>
      <c r="G30" s="478"/>
      <c r="H30" s="478"/>
      <c r="I30" s="478"/>
      <c r="J30" s="478"/>
      <c r="K30" s="478"/>
      <c r="L30" s="78"/>
      <c r="M30" s="73"/>
      <c r="N30" s="73"/>
      <c r="O30" s="73"/>
      <c r="P30" s="73"/>
      <c r="Q30" s="73"/>
      <c r="R30" s="73"/>
      <c r="S30" s="73"/>
      <c r="T30" s="73"/>
      <c r="U30" s="73"/>
      <c r="V30" s="73"/>
    </row>
    <row r="31" spans="1:22" s="81" customFormat="1" ht="24.75">
      <c r="A31" s="80" t="s">
        <v>34</v>
      </c>
      <c r="B31" s="414"/>
      <c r="C31" s="418" t="s">
        <v>878</v>
      </c>
      <c r="D31" s="334" t="s">
        <v>29</v>
      </c>
      <c r="E31" s="417">
        <v>19.399999999999999</v>
      </c>
      <c r="F31" s="408"/>
      <c r="G31" s="408"/>
      <c r="H31" s="408"/>
      <c r="I31" s="408"/>
      <c r="J31" s="409"/>
      <c r="K31" s="410"/>
      <c r="L31" s="78"/>
      <c r="M31" s="73"/>
      <c r="N31" s="73"/>
      <c r="O31" s="73"/>
      <c r="P31" s="73"/>
      <c r="Q31" s="73"/>
      <c r="R31" s="73"/>
      <c r="S31" s="73"/>
      <c r="T31" s="73"/>
      <c r="U31" s="73"/>
      <c r="V31" s="73"/>
    </row>
    <row r="32" spans="1:22" s="81" customFormat="1" ht="24.75">
      <c r="A32" s="80" t="s">
        <v>108</v>
      </c>
      <c r="B32" s="414"/>
      <c r="C32" s="418" t="s">
        <v>879</v>
      </c>
      <c r="D32" s="334" t="s">
        <v>29</v>
      </c>
      <c r="E32" s="417">
        <v>22.2</v>
      </c>
      <c r="F32" s="408"/>
      <c r="G32" s="408"/>
      <c r="H32" s="408"/>
      <c r="I32" s="408"/>
      <c r="J32" s="409"/>
      <c r="K32" s="410"/>
      <c r="L32" s="78"/>
      <c r="M32" s="73"/>
      <c r="N32" s="73"/>
      <c r="O32" s="73"/>
      <c r="P32" s="73"/>
      <c r="Q32" s="73"/>
      <c r="R32" s="73"/>
      <c r="S32" s="73"/>
      <c r="T32" s="73"/>
      <c r="U32" s="73"/>
      <c r="V32" s="73"/>
    </row>
    <row r="33" spans="1:22" s="81" customFormat="1">
      <c r="A33" s="80" t="s">
        <v>35</v>
      </c>
      <c r="B33" s="414"/>
      <c r="C33" s="333" t="s">
        <v>913</v>
      </c>
      <c r="D33" s="334" t="s">
        <v>47</v>
      </c>
      <c r="E33" s="417">
        <v>0.2</v>
      </c>
      <c r="F33" s="408"/>
      <c r="G33" s="408"/>
      <c r="H33" s="408"/>
      <c r="I33" s="408"/>
      <c r="J33" s="409"/>
      <c r="K33" s="410"/>
      <c r="L33" s="78"/>
      <c r="M33" s="73"/>
      <c r="N33" s="73"/>
      <c r="O33" s="73"/>
      <c r="P33" s="73"/>
      <c r="Q33" s="73"/>
      <c r="R33" s="73"/>
      <c r="S33" s="73"/>
      <c r="T33" s="73"/>
      <c r="U33" s="73"/>
      <c r="V33" s="73"/>
    </row>
    <row r="34" spans="1:22" s="81" customFormat="1">
      <c r="A34" s="80" t="s">
        <v>36</v>
      </c>
      <c r="B34" s="125" t="s">
        <v>904</v>
      </c>
      <c r="C34" s="333" t="s">
        <v>880</v>
      </c>
      <c r="D34" s="334" t="s">
        <v>47</v>
      </c>
      <c r="E34" s="417">
        <v>0.9</v>
      </c>
      <c r="F34" s="408"/>
      <c r="G34" s="408"/>
      <c r="H34" s="408"/>
      <c r="I34" s="408"/>
      <c r="J34" s="409"/>
      <c r="K34" s="410"/>
      <c r="L34" s="78"/>
      <c r="M34" s="73"/>
      <c r="N34" s="73"/>
      <c r="O34" s="73"/>
      <c r="P34" s="73"/>
      <c r="Q34" s="73"/>
      <c r="R34" s="73"/>
      <c r="S34" s="73"/>
      <c r="T34" s="73"/>
      <c r="U34" s="73"/>
      <c r="V34" s="73"/>
    </row>
    <row r="35" spans="1:22" s="81" customFormat="1">
      <c r="A35" s="80" t="s">
        <v>37</v>
      </c>
      <c r="B35" s="414" t="s">
        <v>906</v>
      </c>
      <c r="C35" s="333" t="s">
        <v>881</v>
      </c>
      <c r="D35" s="334" t="s">
        <v>47</v>
      </c>
      <c r="E35" s="417">
        <v>0.9</v>
      </c>
      <c r="F35" s="408"/>
      <c r="G35" s="408"/>
      <c r="H35" s="408"/>
      <c r="I35" s="408"/>
      <c r="J35" s="409"/>
      <c r="K35" s="410"/>
      <c r="L35" s="78"/>
      <c r="M35" s="73"/>
      <c r="N35" s="73"/>
      <c r="O35" s="73"/>
      <c r="P35" s="73"/>
      <c r="Q35" s="73"/>
      <c r="R35" s="73"/>
      <c r="S35" s="73"/>
      <c r="T35" s="73"/>
      <c r="U35" s="73"/>
      <c r="V35" s="73"/>
    </row>
    <row r="36" spans="1:22" s="81" customFormat="1">
      <c r="A36" s="80" t="s">
        <v>454</v>
      </c>
      <c r="B36" s="414"/>
      <c r="C36" s="333" t="s">
        <v>914</v>
      </c>
      <c r="D36" s="334" t="s">
        <v>47</v>
      </c>
      <c r="E36" s="417">
        <v>0.1</v>
      </c>
      <c r="F36" s="408"/>
      <c r="G36" s="408"/>
      <c r="H36" s="408"/>
      <c r="I36" s="408"/>
      <c r="J36" s="409"/>
      <c r="K36" s="410"/>
      <c r="L36" s="78"/>
      <c r="M36" s="73"/>
      <c r="N36" s="73"/>
      <c r="O36" s="73"/>
      <c r="P36" s="73"/>
      <c r="Q36" s="73"/>
      <c r="R36" s="73"/>
      <c r="S36" s="73"/>
      <c r="T36" s="73"/>
      <c r="U36" s="73"/>
      <c r="V36" s="73"/>
    </row>
    <row r="37" spans="1:22" s="81" customFormat="1">
      <c r="A37" s="80" t="s">
        <v>455</v>
      </c>
      <c r="B37" s="125" t="s">
        <v>904</v>
      </c>
      <c r="C37" s="333" t="s">
        <v>882</v>
      </c>
      <c r="D37" s="334" t="s">
        <v>47</v>
      </c>
      <c r="E37" s="417">
        <v>1.2</v>
      </c>
      <c r="F37" s="408"/>
      <c r="G37" s="408"/>
      <c r="H37" s="408"/>
      <c r="I37" s="408"/>
      <c r="J37" s="409"/>
      <c r="K37" s="410"/>
      <c r="L37" s="78"/>
      <c r="M37" s="73"/>
      <c r="N37" s="73"/>
      <c r="O37" s="73"/>
      <c r="P37" s="73"/>
      <c r="Q37" s="73"/>
      <c r="R37" s="73"/>
      <c r="S37" s="73"/>
      <c r="T37" s="73"/>
      <c r="U37" s="73"/>
      <c r="V37" s="73"/>
    </row>
    <row r="38" spans="1:22" s="81" customFormat="1">
      <c r="A38" s="80" t="s">
        <v>456</v>
      </c>
      <c r="B38" s="414" t="s">
        <v>906</v>
      </c>
      <c r="C38" s="333" t="s">
        <v>883</v>
      </c>
      <c r="D38" s="334" t="s">
        <v>47</v>
      </c>
      <c r="E38" s="417">
        <v>1.2</v>
      </c>
      <c r="F38" s="408"/>
      <c r="G38" s="408"/>
      <c r="H38" s="408"/>
      <c r="I38" s="408"/>
      <c r="J38" s="409"/>
      <c r="K38" s="410"/>
      <c r="L38" s="78"/>
      <c r="M38" s="73"/>
      <c r="N38" s="73"/>
      <c r="O38" s="73"/>
      <c r="P38" s="73"/>
      <c r="Q38" s="73"/>
      <c r="R38" s="73"/>
      <c r="S38" s="73"/>
      <c r="T38" s="73"/>
      <c r="U38" s="73"/>
      <c r="V38" s="73"/>
    </row>
    <row r="39" spans="1:22" s="81" customFormat="1" ht="24">
      <c r="A39" s="80" t="s">
        <v>557</v>
      </c>
      <c r="B39" s="415" t="s">
        <v>907</v>
      </c>
      <c r="C39" s="333" t="s">
        <v>884</v>
      </c>
      <c r="D39" s="334" t="s">
        <v>890</v>
      </c>
      <c r="E39" s="417">
        <v>77.3</v>
      </c>
      <c r="F39" s="408"/>
      <c r="G39" s="408"/>
      <c r="H39" s="408"/>
      <c r="I39" s="408"/>
      <c r="J39" s="409"/>
      <c r="K39" s="410"/>
      <c r="L39" s="78"/>
      <c r="M39" s="73"/>
      <c r="N39" s="73"/>
      <c r="O39" s="73"/>
      <c r="P39" s="73"/>
      <c r="Q39" s="73"/>
      <c r="R39" s="73"/>
      <c r="S39" s="73"/>
      <c r="T39" s="73"/>
      <c r="U39" s="73"/>
      <c r="V39" s="73"/>
    </row>
    <row r="40" spans="1:22" s="81" customFormat="1">
      <c r="A40" s="80" t="s">
        <v>558</v>
      </c>
      <c r="B40" s="125" t="s">
        <v>832</v>
      </c>
      <c r="C40" s="333" t="s">
        <v>885</v>
      </c>
      <c r="D40" s="334" t="s">
        <v>890</v>
      </c>
      <c r="E40" s="417">
        <v>29.4</v>
      </c>
      <c r="F40" s="408"/>
      <c r="G40" s="408"/>
      <c r="H40" s="408"/>
      <c r="I40" s="408"/>
      <c r="J40" s="409"/>
      <c r="K40" s="410"/>
      <c r="L40" s="78"/>
      <c r="M40" s="73"/>
      <c r="N40" s="73"/>
      <c r="O40" s="73"/>
      <c r="P40" s="73"/>
      <c r="Q40" s="73"/>
      <c r="R40" s="73"/>
      <c r="S40" s="73"/>
      <c r="T40" s="73"/>
      <c r="U40" s="73"/>
      <c r="V40" s="73"/>
    </row>
    <row r="41" spans="1:22" s="81" customFormat="1" ht="24">
      <c r="A41" s="80" t="s">
        <v>893</v>
      </c>
      <c r="B41" s="415" t="s">
        <v>907</v>
      </c>
      <c r="C41" s="333" t="s">
        <v>886</v>
      </c>
      <c r="D41" s="334" t="s">
        <v>890</v>
      </c>
      <c r="E41" s="417">
        <v>50.8</v>
      </c>
      <c r="F41" s="408"/>
      <c r="G41" s="408"/>
      <c r="H41" s="408"/>
      <c r="I41" s="408"/>
      <c r="J41" s="409"/>
      <c r="K41" s="410"/>
      <c r="L41" s="78"/>
      <c r="M41" s="73"/>
      <c r="N41" s="73"/>
      <c r="O41" s="73"/>
      <c r="P41" s="73"/>
      <c r="Q41" s="73"/>
      <c r="R41" s="73"/>
      <c r="S41" s="73"/>
      <c r="T41" s="73"/>
      <c r="U41" s="73"/>
      <c r="V41" s="73"/>
    </row>
    <row r="42" spans="1:22" s="81" customFormat="1">
      <c r="A42" s="80" t="s">
        <v>894</v>
      </c>
      <c r="B42" s="125" t="s">
        <v>832</v>
      </c>
      <c r="C42" s="333" t="s">
        <v>887</v>
      </c>
      <c r="D42" s="334" t="s">
        <v>890</v>
      </c>
      <c r="E42" s="417">
        <v>23.7</v>
      </c>
      <c r="F42" s="408"/>
      <c r="G42" s="408"/>
      <c r="H42" s="408"/>
      <c r="I42" s="408"/>
      <c r="J42" s="409"/>
      <c r="K42" s="410"/>
      <c r="L42" s="78"/>
      <c r="M42" s="73"/>
      <c r="N42" s="73"/>
      <c r="O42" s="73"/>
      <c r="P42" s="73"/>
      <c r="Q42" s="73"/>
      <c r="R42" s="73"/>
      <c r="S42" s="73"/>
      <c r="T42" s="73"/>
      <c r="U42" s="73"/>
      <c r="V42" s="73"/>
    </row>
    <row r="43" spans="1:22" s="74" customFormat="1">
      <c r="A43" s="462" t="s">
        <v>18</v>
      </c>
      <c r="B43" s="463"/>
      <c r="C43" s="463"/>
      <c r="D43" s="463"/>
      <c r="E43" s="463"/>
      <c r="F43" s="463"/>
      <c r="G43" s="463"/>
      <c r="H43" s="463"/>
      <c r="I43" s="464"/>
      <c r="J43" s="22"/>
      <c r="K43" s="22"/>
      <c r="L43" s="79"/>
      <c r="M43" s="73"/>
      <c r="N43" s="73"/>
      <c r="O43" s="73"/>
      <c r="P43" s="73"/>
      <c r="Q43" s="73"/>
      <c r="R43" s="73"/>
      <c r="S43" s="73"/>
      <c r="T43" s="73"/>
      <c r="U43" s="73"/>
      <c r="V43" s="73"/>
    </row>
    <row r="44" spans="1:22" s="81" customFormat="1">
      <c r="A44" s="80" t="s">
        <v>38</v>
      </c>
      <c r="B44" s="456" t="s">
        <v>180</v>
      </c>
      <c r="C44" s="457"/>
      <c r="D44" s="457"/>
      <c r="E44" s="457"/>
      <c r="F44" s="457"/>
      <c r="G44" s="457"/>
      <c r="H44" s="457"/>
      <c r="I44" s="457"/>
      <c r="J44" s="457"/>
      <c r="K44" s="485"/>
      <c r="L44" s="78"/>
      <c r="M44" s="73"/>
      <c r="N44" s="73"/>
      <c r="O44" s="73"/>
      <c r="P44" s="73"/>
      <c r="Q44" s="73"/>
      <c r="R44" s="73"/>
      <c r="S44" s="73"/>
      <c r="T44" s="73"/>
      <c r="U44" s="73"/>
      <c r="V44" s="73"/>
    </row>
    <row r="45" spans="1:22" s="53" customFormat="1">
      <c r="A45" s="48" t="s">
        <v>39</v>
      </c>
      <c r="B45" s="195"/>
      <c r="C45" s="58"/>
      <c r="D45" s="50"/>
      <c r="E45" s="47"/>
      <c r="F45" s="47"/>
      <c r="G45" s="47"/>
      <c r="H45" s="47"/>
      <c r="I45" s="47"/>
      <c r="J45" s="47"/>
      <c r="K45" s="47"/>
      <c r="L45" s="11"/>
      <c r="M45" s="11"/>
      <c r="N45" s="11"/>
      <c r="O45" s="11"/>
      <c r="P45" s="11"/>
      <c r="Q45" s="11"/>
      <c r="R45" s="11"/>
      <c r="S45" s="11"/>
      <c r="T45" s="11"/>
    </row>
    <row r="46" spans="1:22" s="74" customFormat="1">
      <c r="A46" s="496" t="s">
        <v>73</v>
      </c>
      <c r="B46" s="496"/>
      <c r="C46" s="497"/>
      <c r="D46" s="497"/>
      <c r="E46" s="497"/>
      <c r="F46" s="497"/>
      <c r="G46" s="497"/>
      <c r="H46" s="497"/>
      <c r="I46" s="497"/>
      <c r="J46" s="22"/>
      <c r="K46" s="22"/>
      <c r="L46" s="79"/>
      <c r="M46" s="73"/>
      <c r="N46" s="73"/>
      <c r="O46" s="73"/>
      <c r="P46" s="73"/>
      <c r="Q46" s="73"/>
      <c r="R46" s="73"/>
      <c r="S46" s="73"/>
      <c r="T46" s="73"/>
      <c r="U46" s="73"/>
      <c r="V46" s="73"/>
    </row>
    <row r="47" spans="1:22" s="53" customFormat="1" ht="15.75" customHeight="1">
      <c r="A47" s="60" t="s">
        <v>68</v>
      </c>
      <c r="B47" s="458" t="s">
        <v>104</v>
      </c>
      <c r="C47" s="459"/>
      <c r="D47" s="459"/>
      <c r="E47" s="459"/>
      <c r="F47" s="459"/>
      <c r="G47" s="459"/>
      <c r="H47" s="459"/>
      <c r="I47" s="459"/>
      <c r="J47" s="459"/>
      <c r="K47" s="473"/>
      <c r="L47" s="77"/>
      <c r="M47" s="11"/>
      <c r="N47" s="11"/>
      <c r="O47" s="11"/>
      <c r="P47" s="11"/>
      <c r="Q47" s="11"/>
      <c r="R47" s="11"/>
      <c r="S47" s="11"/>
      <c r="T47" s="11"/>
    </row>
    <row r="48" spans="1:22" s="53" customFormat="1">
      <c r="A48" s="198" t="s">
        <v>69</v>
      </c>
      <c r="B48" s="180"/>
      <c r="C48" s="58"/>
      <c r="D48" s="50"/>
      <c r="E48" s="47"/>
      <c r="F48" s="54"/>
      <c r="G48" s="54"/>
      <c r="H48" s="54"/>
      <c r="I48" s="54"/>
      <c r="J48" s="54"/>
      <c r="K48" s="47"/>
      <c r="L48" s="11"/>
      <c r="M48" s="11"/>
      <c r="N48" s="11"/>
      <c r="O48" s="11"/>
      <c r="P48" s="11"/>
      <c r="Q48" s="11"/>
      <c r="R48" s="11"/>
      <c r="S48" s="11"/>
      <c r="T48" s="11"/>
    </row>
    <row r="49" spans="1:22" s="53" customFormat="1" ht="15.75" customHeight="1">
      <c r="A49" s="479" t="s">
        <v>43</v>
      </c>
      <c r="B49" s="480"/>
      <c r="C49" s="480"/>
      <c r="D49" s="480"/>
      <c r="E49" s="480"/>
      <c r="F49" s="480"/>
      <c r="G49" s="480"/>
      <c r="H49" s="480"/>
      <c r="I49" s="481"/>
      <c r="J49" s="23"/>
      <c r="K49" s="23"/>
      <c r="L49" s="77"/>
      <c r="M49" s="11"/>
      <c r="N49" s="11"/>
      <c r="O49" s="11"/>
      <c r="P49" s="11"/>
      <c r="Q49" s="11"/>
      <c r="R49" s="11"/>
      <c r="S49" s="11"/>
      <c r="T49" s="11"/>
    </row>
    <row r="50" spans="1:22" s="74" customFormat="1">
      <c r="A50" s="70" t="s">
        <v>44</v>
      </c>
      <c r="B50" s="448" t="s">
        <v>109</v>
      </c>
      <c r="C50" s="449"/>
      <c r="D50" s="449"/>
      <c r="E50" s="449"/>
      <c r="F50" s="449"/>
      <c r="G50" s="449"/>
      <c r="H50" s="449"/>
      <c r="I50" s="449"/>
      <c r="J50" s="449"/>
      <c r="K50" s="449"/>
      <c r="L50" s="78"/>
      <c r="M50" s="73"/>
      <c r="N50" s="73"/>
      <c r="O50" s="73"/>
      <c r="P50" s="73"/>
      <c r="Q50" s="73"/>
      <c r="R50" s="73"/>
      <c r="S50" s="73"/>
      <c r="T50" s="73"/>
      <c r="U50" s="73"/>
      <c r="V50" s="73"/>
    </row>
    <row r="51" spans="1:22" s="81" customFormat="1" ht="24.75">
      <c r="A51" s="80" t="s">
        <v>82</v>
      </c>
      <c r="B51" s="197">
        <v>72081</v>
      </c>
      <c r="C51" s="181" t="s">
        <v>547</v>
      </c>
      <c r="D51" s="92" t="s">
        <v>29</v>
      </c>
      <c r="E51" s="47">
        <v>44.88</v>
      </c>
      <c r="F51" s="47"/>
      <c r="G51" s="47"/>
      <c r="H51" s="47"/>
      <c r="I51" s="47"/>
      <c r="J51" s="82"/>
      <c r="K51" s="47"/>
      <c r="L51" s="78"/>
      <c r="M51" s="73"/>
      <c r="N51" s="73"/>
      <c r="O51" s="73"/>
      <c r="P51" s="73"/>
      <c r="Q51" s="73"/>
      <c r="R51" s="73"/>
      <c r="S51" s="73"/>
      <c r="T51" s="73"/>
      <c r="U51" s="73"/>
      <c r="V51" s="73"/>
    </row>
    <row r="52" spans="1:22" s="81" customFormat="1" ht="24.75">
      <c r="A52" s="80" t="s">
        <v>86</v>
      </c>
      <c r="B52" s="197" t="s">
        <v>205</v>
      </c>
      <c r="C52" s="181" t="s">
        <v>206</v>
      </c>
      <c r="D52" s="92" t="s">
        <v>29</v>
      </c>
      <c r="E52" s="47">
        <f>E51*1.005</f>
        <v>45.104399999999998</v>
      </c>
      <c r="F52" s="47"/>
      <c r="G52" s="47"/>
      <c r="H52" s="47"/>
      <c r="I52" s="47"/>
      <c r="J52" s="82"/>
      <c r="K52" s="47"/>
      <c r="L52" s="78"/>
      <c r="M52" s="73"/>
      <c r="N52" s="73"/>
      <c r="O52" s="73"/>
      <c r="P52" s="73"/>
      <c r="Q52" s="73"/>
      <c r="R52" s="73"/>
      <c r="S52" s="73"/>
      <c r="T52" s="73"/>
      <c r="U52" s="73"/>
      <c r="V52" s="73"/>
    </row>
    <row r="53" spans="1:22" s="81" customFormat="1">
      <c r="A53" s="80" t="s">
        <v>110</v>
      </c>
      <c r="B53" s="197">
        <v>72104</v>
      </c>
      <c r="C53" s="76" t="s">
        <v>208</v>
      </c>
      <c r="D53" s="92" t="s">
        <v>28</v>
      </c>
      <c r="E53" s="289">
        <v>6.8</v>
      </c>
      <c r="F53" s="47"/>
      <c r="G53" s="47"/>
      <c r="H53" s="47"/>
      <c r="I53" s="47"/>
      <c r="J53" s="82"/>
      <c r="K53" s="47"/>
      <c r="L53" s="78"/>
      <c r="M53" s="73"/>
      <c r="N53" s="73"/>
      <c r="O53" s="73"/>
      <c r="P53" s="73"/>
      <c r="Q53" s="73"/>
      <c r="R53" s="73"/>
      <c r="S53" s="73"/>
      <c r="T53" s="73"/>
      <c r="U53" s="73"/>
      <c r="V53" s="73"/>
    </row>
    <row r="54" spans="1:22" s="74" customFormat="1">
      <c r="A54" s="462" t="s">
        <v>45</v>
      </c>
      <c r="B54" s="463"/>
      <c r="C54" s="463"/>
      <c r="D54" s="463"/>
      <c r="E54" s="463"/>
      <c r="F54" s="463"/>
      <c r="G54" s="463"/>
      <c r="H54" s="463"/>
      <c r="I54" s="464"/>
      <c r="J54" s="23"/>
      <c r="K54" s="23"/>
      <c r="L54" s="79"/>
      <c r="M54" s="73"/>
      <c r="N54" s="73"/>
      <c r="O54" s="73"/>
      <c r="P54" s="73"/>
      <c r="Q54" s="73"/>
      <c r="R54" s="73"/>
      <c r="S54" s="73"/>
      <c r="T54" s="73"/>
      <c r="U54" s="73"/>
      <c r="V54" s="73"/>
    </row>
    <row r="55" spans="1:22" s="53" customFormat="1">
      <c r="A55" s="48" t="s">
        <v>83</v>
      </c>
      <c r="B55" s="474" t="s">
        <v>6</v>
      </c>
      <c r="C55" s="475"/>
      <c r="D55" s="475"/>
      <c r="E55" s="475"/>
      <c r="F55" s="475"/>
      <c r="G55" s="475"/>
      <c r="H55" s="475"/>
      <c r="I55" s="475"/>
      <c r="J55" s="475"/>
      <c r="K55" s="476"/>
      <c r="L55" s="77"/>
      <c r="M55" s="11"/>
      <c r="N55" s="11"/>
      <c r="O55" s="11"/>
      <c r="P55" s="11"/>
      <c r="Q55" s="11"/>
      <c r="R55" s="11"/>
      <c r="S55" s="11"/>
      <c r="T55" s="11"/>
    </row>
    <row r="56" spans="1:22" s="91" customFormat="1">
      <c r="A56" s="86" t="s">
        <v>343</v>
      </c>
      <c r="B56" s="359" t="s">
        <v>852</v>
      </c>
      <c r="C56" s="202" t="s">
        <v>31</v>
      </c>
      <c r="D56" s="201" t="s">
        <v>28</v>
      </c>
      <c r="E56" s="88">
        <f>4*9.58</f>
        <v>38.32</v>
      </c>
      <c r="F56" s="202"/>
      <c r="G56" s="54"/>
      <c r="H56" s="202"/>
      <c r="I56" s="54"/>
      <c r="J56" s="54"/>
      <c r="K56" s="54"/>
      <c r="L56" s="90"/>
      <c r="M56" s="90"/>
      <c r="N56" s="90"/>
      <c r="O56" s="90"/>
      <c r="P56" s="90"/>
      <c r="Q56" s="90"/>
      <c r="R56" s="90"/>
      <c r="S56" s="90"/>
      <c r="T56" s="90"/>
    </row>
    <row r="57" spans="1:22" s="91" customFormat="1">
      <c r="A57" s="86" t="s">
        <v>344</v>
      </c>
      <c r="B57" s="137"/>
      <c r="C57" s="191" t="s">
        <v>48</v>
      </c>
      <c r="D57" s="173" t="s">
        <v>27</v>
      </c>
      <c r="E57" s="47">
        <v>2</v>
      </c>
      <c r="F57" s="47"/>
      <c r="G57" s="47"/>
      <c r="H57" s="47"/>
      <c r="I57" s="47"/>
      <c r="J57" s="47"/>
      <c r="K57" s="54"/>
      <c r="L57" s="90"/>
      <c r="M57" s="90"/>
      <c r="N57" s="90"/>
      <c r="O57" s="90"/>
      <c r="P57" s="90"/>
      <c r="Q57" s="90"/>
      <c r="R57" s="90"/>
      <c r="S57" s="90"/>
      <c r="T57" s="90"/>
    </row>
    <row r="58" spans="1:22" s="91" customFormat="1">
      <c r="A58" s="86" t="s">
        <v>346</v>
      </c>
      <c r="B58" s="137"/>
      <c r="C58" s="191" t="s">
        <v>32</v>
      </c>
      <c r="D58" s="173" t="s">
        <v>28</v>
      </c>
      <c r="E58" s="47">
        <v>9.58</v>
      </c>
      <c r="F58" s="47"/>
      <c r="G58" s="47"/>
      <c r="H58" s="47"/>
      <c r="I58" s="47"/>
      <c r="J58" s="47"/>
      <c r="K58" s="54"/>
      <c r="L58" s="90"/>
      <c r="M58" s="90"/>
      <c r="N58" s="90"/>
      <c r="O58" s="90"/>
      <c r="P58" s="90"/>
      <c r="Q58" s="90"/>
      <c r="R58" s="90"/>
      <c r="S58" s="90"/>
      <c r="T58" s="90"/>
    </row>
    <row r="59" spans="1:22" s="91" customFormat="1">
      <c r="A59" s="86" t="s">
        <v>348</v>
      </c>
      <c r="B59" s="137"/>
      <c r="C59" s="186" t="s">
        <v>91</v>
      </c>
      <c r="D59" s="173" t="s">
        <v>27</v>
      </c>
      <c r="E59" s="47">
        <v>4</v>
      </c>
      <c r="F59" s="186"/>
      <c r="G59" s="47"/>
      <c r="H59" s="186"/>
      <c r="I59" s="47"/>
      <c r="J59" s="47"/>
      <c r="K59" s="54"/>
      <c r="L59" s="90"/>
      <c r="M59" s="90"/>
      <c r="N59" s="90"/>
      <c r="O59" s="90"/>
      <c r="P59" s="90"/>
      <c r="Q59" s="90"/>
      <c r="R59" s="90"/>
      <c r="S59" s="90"/>
      <c r="T59" s="90"/>
    </row>
    <row r="60" spans="1:22" s="91" customFormat="1">
      <c r="A60" s="86" t="s">
        <v>350</v>
      </c>
      <c r="B60" s="137"/>
      <c r="C60" s="58" t="s">
        <v>53</v>
      </c>
      <c r="D60" s="50" t="s">
        <v>27</v>
      </c>
      <c r="E60" s="47">
        <v>1</v>
      </c>
      <c r="F60" s="47"/>
      <c r="G60" s="47"/>
      <c r="H60" s="47"/>
      <c r="I60" s="47"/>
      <c r="J60" s="47"/>
      <c r="K60" s="54"/>
      <c r="L60" s="90"/>
      <c r="M60" s="90"/>
      <c r="N60" s="90"/>
      <c r="O60" s="90"/>
      <c r="P60" s="90"/>
      <c r="Q60" s="90"/>
      <c r="R60" s="90"/>
      <c r="S60" s="90"/>
      <c r="T60" s="90"/>
    </row>
    <row r="61" spans="1:22">
      <c r="A61" s="479" t="s">
        <v>84</v>
      </c>
      <c r="B61" s="480"/>
      <c r="C61" s="480"/>
      <c r="D61" s="480"/>
      <c r="E61" s="480"/>
      <c r="F61" s="480"/>
      <c r="G61" s="480"/>
      <c r="H61" s="480"/>
      <c r="I61" s="481"/>
      <c r="J61" s="23"/>
      <c r="K61" s="39"/>
      <c r="L61" s="11"/>
      <c r="M61" s="11"/>
      <c r="N61" s="11"/>
      <c r="O61" s="11"/>
      <c r="P61" s="11"/>
      <c r="Q61" s="11"/>
      <c r="R61" s="11"/>
      <c r="S61" s="11"/>
      <c r="T61" s="11"/>
    </row>
    <row r="62" spans="1:22" s="53" customFormat="1">
      <c r="A62" s="60" t="s">
        <v>46</v>
      </c>
      <c r="B62" s="486" t="s">
        <v>112</v>
      </c>
      <c r="C62" s="487"/>
      <c r="D62" s="487"/>
      <c r="E62" s="487"/>
      <c r="F62" s="487"/>
      <c r="G62" s="487"/>
      <c r="H62" s="487"/>
      <c r="I62" s="487"/>
      <c r="J62" s="487"/>
      <c r="K62" s="488"/>
      <c r="L62" s="11"/>
      <c r="M62" s="11"/>
      <c r="N62" s="11"/>
      <c r="O62" s="11"/>
      <c r="P62" s="11"/>
      <c r="Q62" s="11"/>
      <c r="R62" s="11"/>
      <c r="S62" s="11"/>
      <c r="T62" s="11"/>
    </row>
    <row r="63" spans="1:22" s="53" customFormat="1">
      <c r="A63" s="48" t="s">
        <v>352</v>
      </c>
      <c r="B63" s="48"/>
      <c r="C63" s="191"/>
      <c r="D63" s="173"/>
      <c r="E63" s="251"/>
      <c r="F63" s="47"/>
      <c r="G63" s="47"/>
      <c r="H63" s="47"/>
      <c r="I63" s="47"/>
      <c r="J63" s="47"/>
      <c r="K63" s="54"/>
      <c r="L63" s="11"/>
      <c r="M63" s="11"/>
      <c r="N63" s="11"/>
      <c r="O63" s="11"/>
      <c r="P63" s="11"/>
      <c r="Q63" s="11"/>
      <c r="R63" s="11"/>
      <c r="S63" s="11"/>
      <c r="T63" s="11"/>
    </row>
    <row r="64" spans="1:22" s="53" customFormat="1">
      <c r="A64" s="482" t="s">
        <v>85</v>
      </c>
      <c r="B64" s="483"/>
      <c r="C64" s="483"/>
      <c r="D64" s="483"/>
      <c r="E64" s="483"/>
      <c r="F64" s="483"/>
      <c r="G64" s="483"/>
      <c r="H64" s="483"/>
      <c r="I64" s="484"/>
      <c r="J64" s="61"/>
      <c r="K64" s="61"/>
      <c r="L64" s="11"/>
      <c r="M64" s="11"/>
      <c r="N64" s="11"/>
      <c r="O64" s="11"/>
      <c r="P64" s="11"/>
      <c r="Q64" s="11"/>
      <c r="R64" s="11"/>
      <c r="S64" s="11"/>
      <c r="T64" s="11"/>
    </row>
    <row r="65" spans="1:22" s="53" customFormat="1">
      <c r="A65" s="60" t="s">
        <v>138</v>
      </c>
      <c r="B65" s="559" t="s">
        <v>54</v>
      </c>
      <c r="C65" s="560"/>
      <c r="D65" s="560"/>
      <c r="E65" s="560"/>
      <c r="F65" s="560"/>
      <c r="G65" s="560"/>
      <c r="H65" s="560"/>
      <c r="I65" s="560"/>
      <c r="J65" s="560"/>
      <c r="K65" s="561"/>
      <c r="L65" s="11"/>
      <c r="M65" s="11"/>
      <c r="N65" s="11"/>
      <c r="O65" s="11"/>
      <c r="P65" s="11"/>
      <c r="Q65" s="11"/>
      <c r="R65" s="11"/>
      <c r="S65" s="11"/>
      <c r="T65" s="11"/>
    </row>
    <row r="66" spans="1:22" s="53" customFormat="1">
      <c r="A66" s="48" t="s">
        <v>359</v>
      </c>
      <c r="B66" s="48"/>
      <c r="C66" s="192"/>
      <c r="D66" s="173"/>
      <c r="E66" s="47"/>
      <c r="F66" s="47"/>
      <c r="G66" s="47"/>
      <c r="H66" s="47"/>
      <c r="I66" s="47"/>
      <c r="J66" s="47"/>
      <c r="K66" s="54"/>
      <c r="L66" s="11"/>
      <c r="M66" s="11"/>
      <c r="N66" s="11"/>
      <c r="O66" s="11"/>
      <c r="P66" s="11"/>
      <c r="Q66" s="11"/>
      <c r="R66" s="11"/>
      <c r="S66" s="11"/>
      <c r="T66" s="11"/>
    </row>
    <row r="67" spans="1:22">
      <c r="A67" s="479" t="s">
        <v>139</v>
      </c>
      <c r="B67" s="480"/>
      <c r="C67" s="480"/>
      <c r="D67" s="480"/>
      <c r="E67" s="480"/>
      <c r="F67" s="480"/>
      <c r="G67" s="480"/>
      <c r="H67" s="480"/>
      <c r="I67" s="481"/>
      <c r="J67" s="23"/>
      <c r="K67" s="39"/>
      <c r="L67" s="11"/>
      <c r="M67" s="11"/>
      <c r="N67" s="11"/>
      <c r="O67" s="11"/>
      <c r="P67" s="11"/>
      <c r="Q67" s="11"/>
      <c r="R67" s="11"/>
      <c r="S67" s="11"/>
      <c r="T67" s="11"/>
    </row>
    <row r="68" spans="1:22" s="74" customFormat="1">
      <c r="A68" s="70" t="s">
        <v>113</v>
      </c>
      <c r="B68" s="477" t="s">
        <v>114</v>
      </c>
      <c r="C68" s="478"/>
      <c r="D68" s="478"/>
      <c r="E68" s="478"/>
      <c r="F68" s="478"/>
      <c r="G68" s="478"/>
      <c r="H68" s="478"/>
      <c r="I68" s="478"/>
      <c r="J68" s="478"/>
      <c r="K68" s="478"/>
      <c r="L68" s="78"/>
      <c r="M68" s="73"/>
      <c r="N68" s="73"/>
      <c r="O68" s="73"/>
      <c r="P68" s="73"/>
      <c r="Q68" s="73"/>
      <c r="R68" s="73"/>
      <c r="S68" s="73"/>
      <c r="T68" s="73"/>
      <c r="U68" s="73"/>
      <c r="V68" s="73"/>
    </row>
    <row r="69" spans="1:22" s="154" customFormat="1" ht="14.25">
      <c r="A69" s="124" t="s">
        <v>115</v>
      </c>
      <c r="B69" s="180"/>
      <c r="C69" s="183"/>
      <c r="D69" s="182"/>
      <c r="E69" s="117"/>
      <c r="F69" s="183"/>
      <c r="G69" s="47"/>
      <c r="H69" s="183"/>
      <c r="I69" s="47"/>
      <c r="J69" s="47"/>
      <c r="K69" s="47"/>
      <c r="L69" s="120"/>
      <c r="M69" s="121"/>
      <c r="N69" s="121"/>
      <c r="O69" s="121"/>
      <c r="P69" s="121"/>
      <c r="Q69" s="121"/>
      <c r="R69" s="121"/>
      <c r="S69" s="121"/>
      <c r="T69" s="121"/>
      <c r="U69" s="121"/>
      <c r="V69" s="121"/>
    </row>
    <row r="70" spans="1:22" s="74" customFormat="1">
      <c r="A70" s="462" t="s">
        <v>117</v>
      </c>
      <c r="B70" s="463"/>
      <c r="C70" s="463"/>
      <c r="D70" s="463"/>
      <c r="E70" s="463"/>
      <c r="F70" s="463"/>
      <c r="G70" s="463"/>
      <c r="H70" s="463"/>
      <c r="I70" s="464"/>
      <c r="J70" s="23"/>
      <c r="K70" s="23"/>
      <c r="L70" s="79"/>
      <c r="M70" s="73"/>
      <c r="N70" s="73"/>
      <c r="O70" s="73"/>
      <c r="P70" s="73"/>
      <c r="Q70" s="73"/>
      <c r="R70" s="73"/>
      <c r="S70" s="73"/>
      <c r="T70" s="73"/>
      <c r="U70" s="73"/>
      <c r="V70" s="73"/>
    </row>
    <row r="71" spans="1:22">
      <c r="A71" s="60" t="s">
        <v>140</v>
      </c>
      <c r="B71" s="458" t="s">
        <v>118</v>
      </c>
      <c r="C71" s="459"/>
      <c r="D71" s="459"/>
      <c r="E71" s="459"/>
      <c r="F71" s="459"/>
      <c r="G71" s="459"/>
      <c r="H71" s="459"/>
      <c r="I71" s="459"/>
      <c r="J71" s="459"/>
      <c r="K71" s="473"/>
      <c r="L71" s="11"/>
      <c r="M71" s="11"/>
      <c r="N71" s="11"/>
      <c r="O71" s="11"/>
      <c r="P71" s="11"/>
      <c r="Q71" s="11"/>
      <c r="R71" s="11"/>
      <c r="S71" s="11"/>
      <c r="T71" s="11"/>
    </row>
    <row r="72" spans="1:22" s="53" customFormat="1">
      <c r="A72" s="96" t="s">
        <v>380</v>
      </c>
      <c r="B72" s="96"/>
      <c r="C72" s="140" t="s">
        <v>304</v>
      </c>
      <c r="D72" s="141" t="s">
        <v>27</v>
      </c>
      <c r="E72" s="47">
        <v>1</v>
      </c>
      <c r="F72" s="140"/>
      <c r="G72" s="140"/>
      <c r="H72" s="140"/>
      <c r="I72" s="140"/>
      <c r="J72" s="140"/>
      <c r="K72" s="21"/>
      <c r="L72" s="11"/>
      <c r="M72" s="11"/>
      <c r="N72" s="11"/>
      <c r="O72" s="11"/>
      <c r="P72" s="11"/>
      <c r="Q72" s="11"/>
      <c r="R72" s="11"/>
      <c r="S72" s="11"/>
      <c r="T72" s="11"/>
    </row>
    <row r="73" spans="1:22" s="53" customFormat="1">
      <c r="A73" s="96" t="s">
        <v>381</v>
      </c>
      <c r="B73" s="96"/>
      <c r="C73" s="140" t="s">
        <v>310</v>
      </c>
      <c r="D73" s="141" t="s">
        <v>27</v>
      </c>
      <c r="E73" s="47">
        <v>1</v>
      </c>
      <c r="F73" s="25"/>
      <c r="G73" s="140"/>
      <c r="H73" s="25"/>
      <c r="I73" s="140"/>
      <c r="J73" s="140"/>
      <c r="K73" s="21"/>
      <c r="L73" s="11"/>
      <c r="M73" s="11"/>
      <c r="N73" s="11"/>
      <c r="O73" s="11"/>
      <c r="P73" s="11"/>
      <c r="Q73" s="11"/>
      <c r="R73" s="11"/>
      <c r="S73" s="11"/>
      <c r="T73" s="11"/>
    </row>
    <row r="74" spans="1:22">
      <c r="A74" s="479" t="s">
        <v>141</v>
      </c>
      <c r="B74" s="480"/>
      <c r="C74" s="480"/>
      <c r="D74" s="480"/>
      <c r="E74" s="480"/>
      <c r="F74" s="480"/>
      <c r="G74" s="480"/>
      <c r="H74" s="480"/>
      <c r="I74" s="481"/>
      <c r="J74" s="23"/>
      <c r="K74" s="39"/>
    </row>
    <row r="75" spans="1:22">
      <c r="A75" s="60" t="s">
        <v>142</v>
      </c>
      <c r="B75" s="458" t="s">
        <v>7</v>
      </c>
      <c r="C75" s="459"/>
      <c r="D75" s="459"/>
      <c r="E75" s="459"/>
      <c r="F75" s="459"/>
      <c r="G75" s="459"/>
      <c r="H75" s="459"/>
      <c r="I75" s="459"/>
      <c r="J75" s="459"/>
      <c r="K75" s="473"/>
      <c r="L75" s="11"/>
      <c r="M75" s="11"/>
      <c r="N75" s="11"/>
      <c r="O75" s="11"/>
      <c r="P75" s="11"/>
      <c r="Q75" s="11"/>
      <c r="R75" s="11"/>
      <c r="S75" s="11"/>
      <c r="T75" s="11"/>
    </row>
    <row r="76" spans="1:22" s="53" customFormat="1" ht="24.75">
      <c r="A76" s="48" t="s">
        <v>143</v>
      </c>
      <c r="B76" s="197">
        <v>5974</v>
      </c>
      <c r="C76" s="58" t="s">
        <v>209</v>
      </c>
      <c r="D76" s="50" t="s">
        <v>29</v>
      </c>
      <c r="E76" s="47">
        <f>4*3.75*1</f>
        <v>15</v>
      </c>
      <c r="F76" s="47"/>
      <c r="G76" s="47"/>
      <c r="H76" s="47"/>
      <c r="I76" s="47"/>
      <c r="J76" s="47"/>
      <c r="K76" s="47"/>
      <c r="L76" s="11"/>
      <c r="M76" s="11"/>
      <c r="N76" s="11"/>
      <c r="O76" s="11"/>
      <c r="P76" s="11"/>
      <c r="Q76" s="11"/>
      <c r="R76" s="11"/>
      <c r="S76" s="11"/>
      <c r="T76" s="11"/>
    </row>
    <row r="77" spans="1:22" s="53" customFormat="1" ht="24.75">
      <c r="A77" s="48" t="s">
        <v>144</v>
      </c>
      <c r="B77" s="197">
        <v>5992</v>
      </c>
      <c r="C77" s="58" t="s">
        <v>212</v>
      </c>
      <c r="D77" s="50" t="s">
        <v>29</v>
      </c>
      <c r="E77" s="47">
        <f>E76</f>
        <v>15</v>
      </c>
      <c r="F77" s="47"/>
      <c r="G77" s="47"/>
      <c r="H77" s="47"/>
      <c r="I77" s="47"/>
      <c r="J77" s="47"/>
      <c r="K77" s="47"/>
      <c r="L77" s="11"/>
      <c r="M77" s="11"/>
      <c r="N77" s="11"/>
      <c r="O77" s="11"/>
      <c r="P77" s="11"/>
      <c r="Q77" s="11"/>
      <c r="R77" s="11"/>
      <c r="S77" s="11"/>
      <c r="T77" s="11"/>
    </row>
    <row r="78" spans="1:22" s="53" customFormat="1" ht="24">
      <c r="A78" s="48" t="s">
        <v>145</v>
      </c>
      <c r="B78" s="197" t="s">
        <v>528</v>
      </c>
      <c r="C78" s="240" t="s">
        <v>530</v>
      </c>
      <c r="D78" s="50" t="s">
        <v>29</v>
      </c>
      <c r="E78" s="47">
        <f>26*1.1</f>
        <v>28.6</v>
      </c>
      <c r="F78" s="47"/>
      <c r="G78" s="47"/>
      <c r="H78" s="47"/>
      <c r="I78" s="47"/>
      <c r="J78" s="47"/>
      <c r="K78" s="47"/>
      <c r="L78" s="11"/>
      <c r="M78" s="11"/>
      <c r="N78" s="11"/>
      <c r="O78" s="11"/>
      <c r="P78" s="11"/>
      <c r="Q78" s="11"/>
      <c r="R78" s="11"/>
      <c r="S78" s="11"/>
      <c r="T78" s="11"/>
    </row>
    <row r="79" spans="1:22" s="53" customFormat="1">
      <c r="A79" s="48" t="s">
        <v>146</v>
      </c>
      <c r="B79" s="197">
        <v>72948</v>
      </c>
      <c r="C79" s="238" t="s">
        <v>529</v>
      </c>
      <c r="D79" s="50" t="s">
        <v>47</v>
      </c>
      <c r="E79" s="47">
        <f>(E78/1.1)*0.6</f>
        <v>15.6</v>
      </c>
      <c r="F79" s="47"/>
      <c r="G79" s="47"/>
      <c r="H79" s="47"/>
      <c r="I79" s="47"/>
      <c r="J79" s="47"/>
      <c r="K79" s="47"/>
      <c r="L79" s="11"/>
      <c r="M79" s="11"/>
      <c r="N79" s="11"/>
      <c r="O79" s="11"/>
      <c r="P79" s="11"/>
      <c r="Q79" s="11"/>
      <c r="R79" s="11"/>
      <c r="S79" s="11"/>
      <c r="T79" s="11"/>
    </row>
    <row r="80" spans="1:22">
      <c r="A80" s="479" t="s">
        <v>151</v>
      </c>
      <c r="B80" s="480"/>
      <c r="C80" s="480"/>
      <c r="D80" s="480"/>
      <c r="E80" s="480"/>
      <c r="F80" s="480"/>
      <c r="G80" s="480"/>
      <c r="H80" s="480"/>
      <c r="I80" s="481"/>
      <c r="J80" s="22"/>
      <c r="K80" s="22"/>
      <c r="L80" s="77"/>
      <c r="M80" s="11"/>
      <c r="N80" s="11"/>
      <c r="O80" s="11"/>
      <c r="P80" s="11"/>
      <c r="Q80" s="11"/>
      <c r="R80" s="11"/>
      <c r="S80" s="11"/>
      <c r="T80" s="11"/>
    </row>
    <row r="81" spans="1:22" s="74" customFormat="1">
      <c r="A81" s="70" t="s">
        <v>132</v>
      </c>
      <c r="B81" s="448" t="s">
        <v>133</v>
      </c>
      <c r="C81" s="449"/>
      <c r="D81" s="449"/>
      <c r="E81" s="449"/>
      <c r="F81" s="449"/>
      <c r="G81" s="449"/>
      <c r="H81" s="449"/>
      <c r="I81" s="449"/>
      <c r="J81" s="449"/>
      <c r="K81" s="449"/>
      <c r="L81" s="78"/>
      <c r="M81" s="73"/>
      <c r="N81" s="73"/>
      <c r="O81" s="73"/>
      <c r="P81" s="73"/>
      <c r="Q81" s="73"/>
      <c r="R81" s="73"/>
      <c r="S81" s="73"/>
      <c r="T81" s="73"/>
      <c r="U81" s="73"/>
    </row>
    <row r="82" spans="1:22" s="81" customFormat="1">
      <c r="A82" s="80" t="s">
        <v>134</v>
      </c>
      <c r="B82" s="211"/>
      <c r="C82" s="200"/>
      <c r="D82" s="92"/>
      <c r="E82" s="47"/>
      <c r="F82" s="47"/>
      <c r="G82" s="47"/>
      <c r="H82" s="47"/>
      <c r="I82" s="47"/>
      <c r="J82" s="47"/>
      <c r="K82" s="47"/>
      <c r="L82" s="78"/>
      <c r="M82" s="73"/>
      <c r="N82" s="73"/>
      <c r="O82" s="73"/>
      <c r="P82" s="73"/>
      <c r="Q82" s="73"/>
      <c r="R82" s="73"/>
      <c r="S82" s="73"/>
      <c r="T82" s="73"/>
      <c r="U82" s="73"/>
    </row>
    <row r="83" spans="1:22" s="74" customFormat="1">
      <c r="A83" s="450" t="s">
        <v>137</v>
      </c>
      <c r="B83" s="451"/>
      <c r="C83" s="451"/>
      <c r="D83" s="451"/>
      <c r="E83" s="451"/>
      <c r="F83" s="451"/>
      <c r="G83" s="451"/>
      <c r="H83" s="451"/>
      <c r="I83" s="452"/>
      <c r="J83" s="22"/>
      <c r="K83" s="22"/>
      <c r="L83" s="79"/>
      <c r="M83" s="73"/>
      <c r="N83" s="73"/>
      <c r="O83" s="73"/>
      <c r="P83" s="73"/>
      <c r="Q83" s="73"/>
      <c r="R83" s="73"/>
      <c r="S83" s="73"/>
      <c r="T83" s="73"/>
      <c r="U83" s="73"/>
    </row>
    <row r="84" spans="1:22" s="53" customFormat="1">
      <c r="A84" s="60" t="s">
        <v>152</v>
      </c>
      <c r="B84" s="453" t="s">
        <v>67</v>
      </c>
      <c r="C84" s="454"/>
      <c r="D84" s="454"/>
      <c r="E84" s="454"/>
      <c r="F84" s="454"/>
      <c r="G84" s="454"/>
      <c r="H84" s="454"/>
      <c r="I84" s="454"/>
      <c r="J84" s="454"/>
      <c r="K84" s="455"/>
      <c r="L84" s="77"/>
      <c r="M84" s="11"/>
      <c r="N84" s="11"/>
      <c r="O84" s="11"/>
      <c r="P84" s="11"/>
      <c r="Q84" s="11"/>
      <c r="R84" s="11"/>
      <c r="S84" s="11"/>
      <c r="T84" s="11"/>
    </row>
    <row r="85" spans="1:22" s="53" customFormat="1">
      <c r="A85" s="48" t="s">
        <v>153</v>
      </c>
      <c r="B85" s="195" t="s">
        <v>234</v>
      </c>
      <c r="C85" s="76" t="s">
        <v>235</v>
      </c>
      <c r="D85" s="50" t="s">
        <v>29</v>
      </c>
      <c r="E85" s="47">
        <f>E77</f>
        <v>15</v>
      </c>
      <c r="F85" s="47"/>
      <c r="G85" s="47"/>
      <c r="H85" s="47"/>
      <c r="I85" s="47"/>
      <c r="J85" s="47"/>
      <c r="K85" s="47"/>
      <c r="L85" s="11"/>
      <c r="M85" s="11"/>
      <c r="N85" s="11"/>
      <c r="O85" s="11"/>
      <c r="P85" s="11"/>
      <c r="Q85" s="11"/>
      <c r="R85" s="11"/>
      <c r="S85" s="11"/>
      <c r="T85" s="11"/>
    </row>
    <row r="86" spans="1:22" s="53" customFormat="1">
      <c r="A86" s="48" t="s">
        <v>154</v>
      </c>
      <c r="B86" s="197">
        <v>6082</v>
      </c>
      <c r="C86" s="76" t="s">
        <v>238</v>
      </c>
      <c r="D86" s="50" t="s">
        <v>29</v>
      </c>
      <c r="E86" s="47">
        <f>E51</f>
        <v>44.88</v>
      </c>
      <c r="F86" s="47"/>
      <c r="G86" s="47"/>
      <c r="H86" s="47"/>
      <c r="I86" s="47"/>
      <c r="J86" s="47"/>
      <c r="K86" s="47"/>
      <c r="L86" s="11"/>
      <c r="M86" s="11"/>
      <c r="N86" s="11"/>
      <c r="O86" s="11"/>
      <c r="P86" s="11"/>
      <c r="Q86" s="11"/>
      <c r="R86" s="11"/>
      <c r="S86" s="11"/>
      <c r="T86" s="11"/>
    </row>
    <row r="87" spans="1:22" s="53" customFormat="1">
      <c r="A87" s="48" t="s">
        <v>155</v>
      </c>
      <c r="B87" s="195" t="s">
        <v>236</v>
      </c>
      <c r="C87" s="76" t="s">
        <v>237</v>
      </c>
      <c r="D87" s="50" t="s">
        <v>29</v>
      </c>
      <c r="E87" s="47">
        <f>E85</f>
        <v>15</v>
      </c>
      <c r="F87" s="47"/>
      <c r="G87" s="47"/>
      <c r="H87" s="47"/>
      <c r="I87" s="47"/>
      <c r="J87" s="47"/>
      <c r="K87" s="47"/>
      <c r="L87" s="11"/>
      <c r="M87" s="11"/>
      <c r="N87" s="11"/>
      <c r="O87" s="11"/>
      <c r="P87" s="11"/>
      <c r="Q87" s="11"/>
      <c r="R87" s="11"/>
      <c r="S87" s="11"/>
      <c r="T87" s="11"/>
    </row>
    <row r="88" spans="1:22" s="53" customFormat="1">
      <c r="A88" s="479" t="s">
        <v>156</v>
      </c>
      <c r="B88" s="480"/>
      <c r="C88" s="480"/>
      <c r="D88" s="480"/>
      <c r="E88" s="480"/>
      <c r="F88" s="480"/>
      <c r="G88" s="480"/>
      <c r="H88" s="480"/>
      <c r="I88" s="481"/>
      <c r="J88" s="23"/>
      <c r="K88" s="23"/>
      <c r="L88" s="77"/>
      <c r="M88" s="11"/>
      <c r="N88" s="11"/>
      <c r="O88" s="11"/>
      <c r="P88" s="11"/>
      <c r="Q88" s="11"/>
      <c r="R88" s="11"/>
      <c r="S88" s="11"/>
      <c r="T88" s="11"/>
    </row>
    <row r="89" spans="1:22" s="74" customFormat="1">
      <c r="A89" s="70" t="s">
        <v>158</v>
      </c>
      <c r="B89" s="477" t="s">
        <v>120</v>
      </c>
      <c r="C89" s="478"/>
      <c r="D89" s="478"/>
      <c r="E89" s="478"/>
      <c r="F89" s="478"/>
      <c r="G89" s="478"/>
      <c r="H89" s="478"/>
      <c r="I89" s="478"/>
      <c r="J89" s="478"/>
      <c r="K89" s="478"/>
      <c r="L89" s="78"/>
      <c r="M89" s="73"/>
      <c r="N89" s="73"/>
      <c r="O89" s="73"/>
      <c r="P89" s="73"/>
      <c r="Q89" s="73"/>
      <c r="R89" s="73"/>
      <c r="S89" s="73"/>
      <c r="T89" s="73"/>
      <c r="U89" s="73"/>
      <c r="V89" s="73"/>
    </row>
    <row r="90" spans="1:22" s="74" customFormat="1">
      <c r="A90" s="70" t="s">
        <v>157</v>
      </c>
      <c r="B90" s="249"/>
      <c r="C90" s="250"/>
      <c r="D90" s="123"/>
      <c r="E90" s="117"/>
      <c r="F90" s="242"/>
      <c r="G90" s="117"/>
      <c r="H90" s="117"/>
      <c r="I90" s="117"/>
      <c r="J90" s="117"/>
      <c r="K90" s="117"/>
      <c r="L90" s="78"/>
      <c r="M90" s="73"/>
      <c r="N90" s="73"/>
      <c r="O90" s="73"/>
      <c r="P90" s="73"/>
      <c r="Q90" s="73"/>
      <c r="R90" s="73"/>
      <c r="S90" s="73"/>
      <c r="T90" s="73"/>
      <c r="U90" s="73"/>
      <c r="V90" s="73"/>
    </row>
    <row r="91" spans="1:22" s="74" customFormat="1">
      <c r="A91" s="462" t="s">
        <v>161</v>
      </c>
      <c r="B91" s="463"/>
      <c r="C91" s="463"/>
      <c r="D91" s="463"/>
      <c r="E91" s="463"/>
      <c r="F91" s="463"/>
      <c r="G91" s="463"/>
      <c r="H91" s="463"/>
      <c r="I91" s="464"/>
      <c r="J91" s="23"/>
      <c r="K91" s="23"/>
      <c r="L91" s="79"/>
      <c r="M91" s="73"/>
      <c r="N91" s="73"/>
      <c r="O91" s="73"/>
      <c r="P91" s="73"/>
      <c r="Q91" s="73"/>
      <c r="R91" s="73"/>
      <c r="S91" s="73"/>
      <c r="T91" s="73"/>
      <c r="U91" s="73"/>
      <c r="V91" s="73"/>
    </row>
    <row r="92" spans="1:22">
      <c r="A92" s="60" t="s">
        <v>119</v>
      </c>
      <c r="B92" s="458" t="s">
        <v>25</v>
      </c>
      <c r="C92" s="459"/>
      <c r="D92" s="459"/>
      <c r="E92" s="459"/>
      <c r="F92" s="459"/>
      <c r="G92" s="459"/>
      <c r="H92" s="459"/>
      <c r="I92" s="459"/>
      <c r="J92" s="459"/>
      <c r="K92" s="459"/>
      <c r="L92" s="83"/>
    </row>
    <row r="93" spans="1:22" s="53" customFormat="1">
      <c r="A93" s="48" t="s">
        <v>121</v>
      </c>
      <c r="B93" s="197">
        <v>9537</v>
      </c>
      <c r="C93" s="11" t="s">
        <v>239</v>
      </c>
      <c r="D93" s="50" t="s">
        <v>29</v>
      </c>
      <c r="E93" s="47">
        <f>E13</f>
        <v>26</v>
      </c>
      <c r="F93" s="47"/>
      <c r="G93" s="47"/>
      <c r="H93" s="47"/>
      <c r="I93" s="47"/>
      <c r="J93" s="47"/>
      <c r="K93" s="47"/>
    </row>
    <row r="94" spans="1:22">
      <c r="A94" s="479" t="s">
        <v>124</v>
      </c>
      <c r="B94" s="480"/>
      <c r="C94" s="480"/>
      <c r="D94" s="480"/>
      <c r="E94" s="480"/>
      <c r="F94" s="480"/>
      <c r="G94" s="480"/>
      <c r="H94" s="480"/>
      <c r="I94" s="481"/>
      <c r="J94" s="23"/>
      <c r="K94" s="39"/>
    </row>
    <row r="95" spans="1:22" s="26" customFormat="1">
      <c r="A95" s="20"/>
      <c r="B95" s="75"/>
      <c r="C95" s="460"/>
      <c r="D95" s="460"/>
      <c r="E95" s="460"/>
      <c r="F95" s="460"/>
      <c r="G95" s="460"/>
      <c r="H95" s="460"/>
      <c r="I95" s="460"/>
      <c r="J95" s="460"/>
      <c r="K95" s="461"/>
    </row>
    <row r="96" spans="1:22" s="69" customFormat="1" ht="15.75">
      <c r="A96" s="445" t="s">
        <v>14</v>
      </c>
      <c r="B96" s="446"/>
      <c r="C96" s="446"/>
      <c r="D96" s="446"/>
      <c r="E96" s="446"/>
      <c r="F96" s="446"/>
      <c r="G96" s="446"/>
      <c r="H96" s="446"/>
      <c r="I96" s="447"/>
      <c r="J96" s="68"/>
      <c r="K96" s="68"/>
    </row>
    <row r="98" spans="1:10">
      <c r="H98" s="43"/>
      <c r="I98" s="12"/>
    </row>
    <row r="99" spans="1:10">
      <c r="I99" s="31"/>
    </row>
    <row r="101" spans="1:10">
      <c r="A101" s="28"/>
      <c r="B101" s="28"/>
      <c r="C101" s="28"/>
      <c r="D101" s="29"/>
      <c r="E101" s="30"/>
      <c r="F101" s="28"/>
      <c r="G101" s="28"/>
      <c r="H101" s="28"/>
      <c r="I101" s="28"/>
      <c r="J101" s="28"/>
    </row>
    <row r="102" spans="1:10">
      <c r="A102" s="28"/>
      <c r="B102" s="28"/>
      <c r="C102" s="28"/>
      <c r="D102" s="29"/>
      <c r="E102" s="30"/>
      <c r="F102" s="28"/>
      <c r="G102" s="30"/>
      <c r="H102" s="28"/>
      <c r="I102" s="30"/>
      <c r="J102" s="30"/>
    </row>
    <row r="103" spans="1:10">
      <c r="A103" s="28"/>
      <c r="B103" s="28"/>
      <c r="C103" s="28"/>
      <c r="D103" s="29"/>
      <c r="E103" s="30"/>
      <c r="F103" s="28"/>
      <c r="G103" s="30"/>
      <c r="H103" s="28"/>
      <c r="I103" s="30"/>
      <c r="J103" s="30"/>
    </row>
    <row r="104" spans="1:10">
      <c r="A104" s="28"/>
      <c r="B104" s="28"/>
      <c r="C104" s="28"/>
      <c r="D104" s="29"/>
      <c r="E104" s="30"/>
      <c r="F104" s="28"/>
      <c r="G104" s="30"/>
      <c r="H104" s="28"/>
      <c r="I104" s="30"/>
      <c r="J104" s="30"/>
    </row>
    <row r="105" spans="1:10">
      <c r="A105" s="28"/>
      <c r="B105" s="28"/>
      <c r="C105" s="28"/>
      <c r="D105" s="29"/>
      <c r="E105" s="30"/>
      <c r="F105" s="28"/>
      <c r="G105" s="30"/>
      <c r="H105" s="28"/>
      <c r="I105" s="30"/>
      <c r="J105" s="30"/>
    </row>
    <row r="106" spans="1:10">
      <c r="A106" s="28"/>
      <c r="B106" s="28"/>
      <c r="C106" s="28"/>
      <c r="D106" s="29"/>
      <c r="E106" s="30"/>
      <c r="F106" s="28"/>
      <c r="G106" s="30"/>
      <c r="H106" s="28"/>
      <c r="I106" s="30"/>
      <c r="J106" s="30"/>
    </row>
    <row r="107" spans="1:10">
      <c r="A107" s="28"/>
      <c r="B107" s="28"/>
      <c r="C107" s="28"/>
      <c r="D107" s="29"/>
      <c r="E107" s="30"/>
      <c r="F107" s="28"/>
      <c r="G107" s="30"/>
      <c r="H107" s="28"/>
      <c r="I107" s="30"/>
      <c r="J107" s="30"/>
    </row>
    <row r="108" spans="1:10">
      <c r="A108" s="28"/>
      <c r="B108" s="28"/>
      <c r="C108" s="28"/>
      <c r="D108" s="29"/>
      <c r="E108" s="30"/>
      <c r="F108" s="28"/>
      <c r="G108" s="30"/>
      <c r="H108" s="28"/>
      <c r="I108" s="30"/>
      <c r="J108" s="30"/>
    </row>
    <row r="109" spans="1:10">
      <c r="A109" s="28"/>
      <c r="B109" s="28"/>
      <c r="C109" s="28"/>
      <c r="D109" s="29"/>
      <c r="E109" s="30"/>
      <c r="F109" s="28"/>
      <c r="G109" s="30"/>
      <c r="H109" s="28"/>
      <c r="I109" s="30"/>
      <c r="J109" s="30"/>
    </row>
    <row r="110" spans="1:10">
      <c r="A110" s="31"/>
      <c r="B110" s="31"/>
      <c r="C110" s="31"/>
      <c r="D110" s="32"/>
      <c r="E110" s="45"/>
      <c r="F110" s="31"/>
      <c r="G110" s="31"/>
      <c r="H110" s="31"/>
      <c r="I110" s="31"/>
      <c r="J110" s="31"/>
    </row>
    <row r="111" spans="1:10">
      <c r="A111" s="28"/>
      <c r="B111" s="28"/>
      <c r="C111" s="28"/>
      <c r="D111" s="29"/>
      <c r="E111" s="30"/>
      <c r="F111" s="28"/>
      <c r="G111" s="30"/>
      <c r="H111" s="28"/>
      <c r="I111" s="30"/>
      <c r="J111" s="30"/>
    </row>
    <row r="112" spans="1:10">
      <c r="A112" s="28"/>
      <c r="B112" s="28"/>
      <c r="C112" s="28"/>
      <c r="D112" s="29"/>
      <c r="E112" s="30"/>
      <c r="F112" s="28"/>
      <c r="G112" s="30"/>
      <c r="H112" s="28"/>
      <c r="I112" s="30"/>
      <c r="J112" s="30"/>
    </row>
    <row r="113" spans="1:11">
      <c r="A113" s="28"/>
      <c r="B113" s="28"/>
      <c r="C113" s="28"/>
      <c r="D113" s="29"/>
      <c r="E113" s="30"/>
      <c r="F113" s="30"/>
      <c r="G113" s="30"/>
      <c r="H113" s="28"/>
      <c r="I113" s="30"/>
      <c r="J113" s="30"/>
    </row>
    <row r="114" spans="1:11">
      <c r="A114" s="28"/>
      <c r="B114" s="28"/>
      <c r="C114" s="28"/>
      <c r="D114" s="29"/>
      <c r="E114" s="30"/>
      <c r="F114" s="30"/>
      <c r="G114" s="30"/>
      <c r="H114" s="28"/>
      <c r="I114" s="30"/>
      <c r="J114" s="30"/>
    </row>
    <row r="115" spans="1:11">
      <c r="A115" s="28"/>
      <c r="B115" s="28"/>
      <c r="C115" s="28"/>
      <c r="D115" s="29"/>
      <c r="E115" s="30"/>
      <c r="F115" s="30"/>
      <c r="G115" s="30"/>
      <c r="H115" s="28"/>
      <c r="I115" s="30"/>
      <c r="J115" s="30"/>
    </row>
    <row r="116" spans="1:11">
      <c r="A116" s="28"/>
      <c r="B116" s="28"/>
      <c r="C116" s="28"/>
      <c r="D116" s="29"/>
      <c r="E116" s="30"/>
      <c r="F116" s="30"/>
      <c r="G116" s="30"/>
      <c r="H116" s="28"/>
      <c r="I116" s="30"/>
      <c r="J116" s="30"/>
    </row>
    <row r="117" spans="1:11">
      <c r="A117" s="28"/>
      <c r="B117" s="28"/>
      <c r="C117" s="28"/>
      <c r="D117" s="29"/>
      <c r="E117" s="30"/>
      <c r="F117" s="30"/>
      <c r="G117" s="30"/>
      <c r="H117" s="28"/>
      <c r="I117" s="30"/>
      <c r="J117" s="30"/>
    </row>
    <row r="118" spans="1:11">
      <c r="A118" s="28"/>
      <c r="B118" s="28"/>
      <c r="C118" s="28"/>
      <c r="D118" s="29"/>
      <c r="E118" s="30"/>
      <c r="F118" s="30"/>
      <c r="G118" s="30"/>
      <c r="H118" s="28"/>
      <c r="I118" s="30"/>
      <c r="J118" s="30"/>
    </row>
    <row r="119" spans="1:11">
      <c r="A119" s="28"/>
      <c r="B119" s="28"/>
      <c r="C119" s="28"/>
      <c r="D119" s="29"/>
      <c r="E119" s="30"/>
      <c r="F119" s="30"/>
      <c r="G119" s="30"/>
      <c r="H119" s="30"/>
      <c r="I119" s="30"/>
      <c r="J119" s="30"/>
    </row>
    <row r="120" spans="1:11">
      <c r="A120" s="28"/>
      <c r="B120" s="28"/>
      <c r="C120" s="28"/>
      <c r="D120" s="29"/>
      <c r="E120" s="30"/>
      <c r="F120" s="28"/>
      <c r="G120" s="30"/>
      <c r="H120" s="28"/>
      <c r="I120" s="30"/>
      <c r="J120" s="30"/>
    </row>
    <row r="121" spans="1:11">
      <c r="A121" s="28"/>
      <c r="B121" s="28"/>
      <c r="C121" s="28"/>
      <c r="D121" s="29"/>
      <c r="E121" s="30"/>
      <c r="F121" s="30"/>
      <c r="G121" s="30"/>
      <c r="H121" s="28"/>
      <c r="I121" s="30"/>
      <c r="J121" s="30"/>
    </row>
    <row r="122" spans="1:11">
      <c r="A122" s="28"/>
      <c r="B122" s="28"/>
      <c r="C122" s="28"/>
      <c r="D122" s="29"/>
      <c r="E122" s="30"/>
      <c r="F122" s="30"/>
      <c r="G122" s="30"/>
      <c r="H122" s="28"/>
      <c r="I122" s="30"/>
      <c r="J122" s="30"/>
    </row>
    <row r="123" spans="1:11">
      <c r="A123" s="28"/>
      <c r="B123" s="28"/>
      <c r="C123" s="28"/>
      <c r="D123" s="29"/>
      <c r="E123" s="30"/>
      <c r="F123" s="28"/>
      <c r="G123" s="30"/>
      <c r="H123" s="28"/>
      <c r="I123" s="30"/>
      <c r="J123" s="30"/>
      <c r="K123" s="26"/>
    </row>
    <row r="124" spans="1:11">
      <c r="A124" s="33"/>
      <c r="B124" s="33"/>
      <c r="C124" s="34"/>
      <c r="D124" s="35"/>
      <c r="E124" s="46"/>
      <c r="F124" s="33"/>
      <c r="G124" s="30"/>
      <c r="H124" s="33"/>
      <c r="I124" s="30"/>
      <c r="J124" s="30"/>
    </row>
    <row r="125" spans="1:11">
      <c r="A125" s="28"/>
      <c r="B125" s="28"/>
      <c r="C125" s="28"/>
      <c r="D125" s="29"/>
      <c r="E125" s="30"/>
      <c r="F125" s="28"/>
      <c r="G125" s="30"/>
      <c r="H125" s="28"/>
      <c r="I125" s="30"/>
      <c r="J125" s="30"/>
    </row>
    <row r="126" spans="1:11">
      <c r="A126" s="28"/>
      <c r="B126" s="28"/>
      <c r="C126" s="28"/>
      <c r="D126" s="29"/>
      <c r="E126" s="30"/>
      <c r="F126" s="28"/>
      <c r="G126" s="30"/>
      <c r="H126" s="28"/>
      <c r="I126" s="30"/>
      <c r="J126" s="30"/>
    </row>
    <row r="127" spans="1:11">
      <c r="A127" s="28"/>
      <c r="B127" s="28"/>
      <c r="C127" s="28"/>
      <c r="D127" s="29"/>
      <c r="E127" s="30"/>
      <c r="F127" s="28"/>
      <c r="G127" s="30"/>
      <c r="H127" s="28"/>
      <c r="I127" s="30"/>
      <c r="J127" s="30"/>
    </row>
    <row r="128" spans="1:11">
      <c r="A128" s="28"/>
      <c r="B128" s="28"/>
      <c r="C128" s="28"/>
      <c r="D128" s="29"/>
      <c r="E128" s="30"/>
      <c r="F128" s="28"/>
      <c r="G128" s="30"/>
      <c r="H128" s="28"/>
      <c r="I128" s="30"/>
      <c r="J128" s="30"/>
    </row>
    <row r="129" spans="1:11">
      <c r="A129" s="28"/>
      <c r="B129" s="28"/>
      <c r="C129" s="28"/>
      <c r="D129" s="29"/>
      <c r="E129" s="30"/>
      <c r="F129" s="30"/>
      <c r="G129" s="30"/>
      <c r="H129" s="30"/>
      <c r="I129" s="30"/>
      <c r="J129" s="30"/>
    </row>
    <row r="130" spans="1:11">
      <c r="A130" s="31"/>
      <c r="B130" s="31"/>
      <c r="C130" s="31"/>
      <c r="D130" s="32"/>
      <c r="E130" s="45"/>
      <c r="F130" s="31"/>
      <c r="G130" s="31"/>
      <c r="H130" s="31"/>
      <c r="I130" s="31"/>
      <c r="J130" s="31"/>
    </row>
    <row r="131" spans="1:11">
      <c r="A131" s="31"/>
      <c r="B131" s="31"/>
      <c r="C131" s="31"/>
    </row>
    <row r="132" spans="1:11">
      <c r="A132" s="28"/>
      <c r="B132" s="28"/>
      <c r="C132" s="29"/>
      <c r="D132" s="28"/>
      <c r="E132" s="30"/>
      <c r="F132" s="28"/>
      <c r="G132" s="28"/>
      <c r="H132" s="28"/>
      <c r="I132" s="28"/>
      <c r="J132" s="28"/>
      <c r="K132" s="12"/>
    </row>
    <row r="133" spans="1:11">
      <c r="A133" s="28"/>
      <c r="B133" s="28"/>
      <c r="C133" s="28"/>
      <c r="D133" s="29"/>
      <c r="E133" s="30"/>
      <c r="F133" s="30"/>
      <c r="G133" s="30"/>
      <c r="H133" s="30"/>
      <c r="I133" s="30"/>
      <c r="J133" s="30"/>
      <c r="K133" s="28"/>
    </row>
    <row r="134" spans="1:11">
      <c r="A134" s="28"/>
      <c r="B134" s="28"/>
      <c r="C134" s="28"/>
      <c r="D134" s="29"/>
      <c r="E134" s="30"/>
      <c r="F134" s="30"/>
      <c r="G134" s="30"/>
      <c r="H134" s="30"/>
      <c r="I134" s="30"/>
      <c r="J134" s="30"/>
      <c r="K134" s="28"/>
    </row>
    <row r="135" spans="1:11">
      <c r="A135" s="28"/>
      <c r="B135" s="28"/>
      <c r="C135" s="28"/>
      <c r="D135" s="29"/>
      <c r="E135" s="30"/>
      <c r="F135" s="30"/>
      <c r="G135" s="30"/>
      <c r="H135" s="30"/>
      <c r="I135" s="30"/>
      <c r="J135" s="30"/>
      <c r="K135" s="28"/>
    </row>
    <row r="136" spans="1:11">
      <c r="A136" s="28"/>
      <c r="B136" s="28"/>
      <c r="C136" s="28"/>
      <c r="D136" s="29"/>
      <c r="E136" s="30"/>
      <c r="F136" s="30"/>
      <c r="G136" s="30"/>
      <c r="H136" s="30"/>
      <c r="I136" s="30"/>
      <c r="J136" s="30"/>
      <c r="K136" s="28"/>
    </row>
    <row r="137" spans="1:11">
      <c r="A137" s="28"/>
      <c r="B137" s="28"/>
      <c r="C137" s="28"/>
      <c r="D137" s="29"/>
      <c r="E137" s="30"/>
      <c r="F137" s="30"/>
      <c r="G137" s="30"/>
      <c r="H137" s="30"/>
      <c r="I137" s="30"/>
      <c r="J137" s="30"/>
      <c r="K137" s="28"/>
    </row>
    <row r="138" spans="1:11">
      <c r="A138" s="28"/>
      <c r="B138" s="28"/>
      <c r="C138" s="28"/>
      <c r="D138" s="29"/>
      <c r="E138" s="30"/>
      <c r="F138" s="30"/>
      <c r="G138" s="30"/>
      <c r="H138" s="30"/>
      <c r="I138" s="30"/>
      <c r="J138" s="30"/>
      <c r="K138" s="28"/>
    </row>
    <row r="139" spans="1:11">
      <c r="A139" s="28"/>
      <c r="B139" s="28"/>
      <c r="C139" s="28"/>
      <c r="D139" s="29"/>
      <c r="E139" s="30"/>
      <c r="F139" s="30"/>
      <c r="G139" s="30"/>
      <c r="H139" s="30"/>
      <c r="I139" s="30"/>
      <c r="J139" s="30"/>
      <c r="K139" s="28"/>
    </row>
    <row r="140" spans="1:11">
      <c r="A140" s="28"/>
      <c r="B140" s="28"/>
      <c r="C140" s="28"/>
      <c r="D140" s="29"/>
      <c r="E140" s="30"/>
      <c r="F140" s="30"/>
      <c r="G140" s="30"/>
      <c r="H140" s="30"/>
      <c r="I140" s="30"/>
      <c r="J140" s="30"/>
      <c r="K140" s="28"/>
    </row>
    <row r="141" spans="1:11">
      <c r="A141" s="28"/>
      <c r="B141" s="28"/>
      <c r="C141" s="28"/>
      <c r="D141" s="29"/>
      <c r="E141" s="30"/>
      <c r="F141" s="30"/>
      <c r="G141" s="30"/>
      <c r="H141" s="30"/>
      <c r="I141" s="30"/>
      <c r="J141" s="30"/>
      <c r="K141" s="28"/>
    </row>
    <row r="142" spans="1:11">
      <c r="A142" s="28"/>
      <c r="B142" s="28"/>
      <c r="C142" s="28"/>
      <c r="D142" s="29"/>
      <c r="E142" s="30"/>
      <c r="F142" s="30"/>
      <c r="G142" s="30"/>
      <c r="H142" s="30"/>
      <c r="I142" s="30"/>
      <c r="J142" s="30"/>
      <c r="K142" s="28"/>
    </row>
    <row r="143" spans="1:11">
      <c r="A143" s="28"/>
      <c r="B143" s="28"/>
      <c r="C143" s="28"/>
      <c r="D143" s="29"/>
      <c r="E143" s="30"/>
      <c r="F143" s="30"/>
      <c r="G143" s="30"/>
      <c r="H143" s="30"/>
      <c r="I143" s="30"/>
      <c r="J143" s="30"/>
      <c r="K143" s="28"/>
    </row>
    <row r="144" spans="1:11">
      <c r="A144" s="28"/>
      <c r="B144" s="28"/>
      <c r="C144" s="28"/>
      <c r="D144" s="29"/>
      <c r="E144" s="30"/>
      <c r="F144" s="30"/>
      <c r="G144" s="30"/>
      <c r="H144" s="30"/>
      <c r="I144" s="30"/>
      <c r="J144" s="30"/>
      <c r="K144" s="28"/>
    </row>
    <row r="145" spans="1:11">
      <c r="A145" s="28"/>
      <c r="B145" s="28"/>
      <c r="C145" s="28"/>
      <c r="D145" s="29"/>
      <c r="E145" s="30"/>
      <c r="F145" s="30"/>
      <c r="G145" s="30"/>
      <c r="H145" s="30"/>
      <c r="I145" s="30"/>
      <c r="J145" s="30"/>
      <c r="K145" s="28"/>
    </row>
    <row r="146" spans="1:11">
      <c r="A146" s="28"/>
      <c r="B146" s="28"/>
      <c r="C146" s="28"/>
      <c r="D146" s="29"/>
      <c r="E146" s="30"/>
      <c r="F146" s="30"/>
      <c r="G146" s="30"/>
      <c r="H146" s="30"/>
      <c r="I146" s="30"/>
      <c r="J146" s="30"/>
      <c r="K146" s="28"/>
    </row>
    <row r="147" spans="1:11">
      <c r="A147" s="28"/>
      <c r="B147" s="28"/>
      <c r="C147" s="28"/>
      <c r="D147" s="29"/>
      <c r="E147" s="30"/>
      <c r="F147" s="30"/>
      <c r="G147" s="30"/>
      <c r="H147" s="30"/>
      <c r="I147" s="30"/>
      <c r="J147" s="30"/>
      <c r="K147" s="28"/>
    </row>
    <row r="148" spans="1:11">
      <c r="A148" s="28"/>
      <c r="B148" s="28"/>
      <c r="C148" s="28"/>
      <c r="D148" s="29"/>
      <c r="E148" s="30"/>
      <c r="F148" s="30"/>
      <c r="G148" s="30"/>
      <c r="H148" s="30"/>
      <c r="I148" s="30"/>
      <c r="J148" s="30"/>
      <c r="K148" s="28"/>
    </row>
    <row r="149" spans="1:11">
      <c r="A149" s="28"/>
      <c r="B149" s="28"/>
      <c r="C149" s="40"/>
      <c r="D149" s="29"/>
      <c r="E149" s="41"/>
      <c r="F149" s="30"/>
      <c r="G149" s="30"/>
      <c r="H149" s="30"/>
      <c r="I149" s="30"/>
      <c r="J149" s="30"/>
      <c r="K149" s="28"/>
    </row>
    <row r="150" spans="1:11">
      <c r="A150" s="28"/>
      <c r="B150" s="28"/>
      <c r="C150" s="40"/>
      <c r="D150" s="29"/>
      <c r="E150" s="41"/>
      <c r="F150" s="30"/>
      <c r="G150" s="30"/>
      <c r="H150" s="30"/>
      <c r="I150" s="30"/>
      <c r="J150" s="30"/>
      <c r="K150" s="28"/>
    </row>
    <row r="151" spans="1:11">
      <c r="A151" s="28"/>
      <c r="B151" s="28"/>
      <c r="C151" s="40"/>
      <c r="D151" s="29"/>
      <c r="E151" s="41"/>
      <c r="F151" s="30"/>
      <c r="G151" s="30"/>
      <c r="H151" s="30"/>
      <c r="I151" s="30"/>
      <c r="J151" s="30"/>
      <c r="K151" s="28"/>
    </row>
    <row r="152" spans="1:11">
      <c r="A152" s="28"/>
      <c r="B152" s="28"/>
      <c r="C152" s="40"/>
      <c r="D152" s="29"/>
      <c r="E152" s="41"/>
      <c r="F152" s="30"/>
      <c r="G152" s="30"/>
      <c r="H152" s="30"/>
      <c r="I152" s="30"/>
      <c r="J152" s="30"/>
      <c r="K152" s="28"/>
    </row>
    <row r="153" spans="1:11">
      <c r="A153" s="28"/>
      <c r="B153" s="28"/>
      <c r="C153" s="28"/>
      <c r="D153" s="29"/>
      <c r="E153" s="30"/>
      <c r="F153" s="30"/>
      <c r="G153" s="30"/>
      <c r="H153" s="30"/>
      <c r="I153" s="30"/>
      <c r="J153" s="30"/>
      <c r="K153" s="28"/>
    </row>
    <row r="154" spans="1:11">
      <c r="A154" s="28"/>
      <c r="B154" s="28"/>
      <c r="C154" s="28"/>
      <c r="D154" s="42"/>
      <c r="E154" s="30"/>
      <c r="F154" s="30"/>
      <c r="G154" s="30"/>
      <c r="H154" s="30"/>
      <c r="I154" s="30"/>
      <c r="J154" s="30"/>
      <c r="K154" s="28"/>
    </row>
    <row r="155" spans="1:11">
      <c r="A155" s="28"/>
      <c r="B155" s="28"/>
      <c r="C155" s="28"/>
      <c r="D155" s="29"/>
      <c r="E155" s="30"/>
      <c r="F155" s="30"/>
      <c r="G155" s="30"/>
      <c r="H155" s="30"/>
      <c r="I155" s="30"/>
      <c r="J155" s="30"/>
      <c r="K155" s="28"/>
    </row>
    <row r="156" spans="1:11">
      <c r="A156" s="28"/>
      <c r="B156" s="28"/>
      <c r="C156" s="28"/>
      <c r="D156" s="29"/>
      <c r="E156" s="30"/>
      <c r="F156" s="30"/>
      <c r="G156" s="30"/>
      <c r="H156" s="30"/>
      <c r="I156" s="30"/>
      <c r="J156" s="30"/>
      <c r="K156" s="28"/>
    </row>
    <row r="157" spans="1:11">
      <c r="A157" s="28"/>
      <c r="B157" s="28"/>
      <c r="C157" s="28"/>
      <c r="D157" s="29"/>
      <c r="E157" s="30"/>
      <c r="F157" s="30"/>
      <c r="G157" s="30"/>
      <c r="H157" s="30"/>
      <c r="I157" s="30"/>
      <c r="J157" s="30"/>
      <c r="K157" s="28"/>
    </row>
    <row r="158" spans="1:11">
      <c r="A158" s="28"/>
      <c r="B158" s="28"/>
      <c r="C158" s="28"/>
      <c r="D158" s="29"/>
      <c r="E158" s="30"/>
      <c r="F158" s="30"/>
      <c r="G158" s="30"/>
      <c r="H158" s="30"/>
      <c r="I158" s="30"/>
      <c r="J158" s="30"/>
      <c r="K158" s="28"/>
    </row>
    <row r="159" spans="1:11">
      <c r="A159" s="28"/>
      <c r="B159" s="28"/>
      <c r="C159" s="28"/>
      <c r="D159" s="29"/>
      <c r="E159" s="30"/>
      <c r="F159" s="30"/>
      <c r="G159" s="30"/>
      <c r="H159" s="30"/>
      <c r="I159" s="30"/>
      <c r="J159" s="30"/>
      <c r="K159" s="28"/>
    </row>
    <row r="160" spans="1:11">
      <c r="A160" s="28"/>
      <c r="B160" s="28"/>
      <c r="C160" s="28"/>
      <c r="D160" s="29"/>
      <c r="E160" s="30"/>
      <c r="F160" s="30"/>
      <c r="G160" s="30"/>
      <c r="H160" s="30"/>
      <c r="I160" s="30"/>
      <c r="J160" s="30"/>
      <c r="K160" s="28"/>
    </row>
    <row r="161" spans="1:11">
      <c r="A161" s="28"/>
      <c r="B161" s="28"/>
      <c r="C161" s="31"/>
      <c r="D161" s="29"/>
      <c r="E161" s="30"/>
      <c r="F161" s="30"/>
      <c r="G161" s="30"/>
      <c r="H161" s="30"/>
      <c r="I161" s="30"/>
      <c r="J161" s="30"/>
      <c r="K161" s="28"/>
    </row>
    <row r="162" spans="1:11">
      <c r="A162" s="28"/>
      <c r="B162" s="28"/>
      <c r="C162" s="28"/>
      <c r="D162" s="29"/>
      <c r="E162" s="30"/>
      <c r="F162" s="30"/>
      <c r="G162" s="30"/>
      <c r="H162" s="30"/>
      <c r="I162" s="30"/>
      <c r="J162" s="30"/>
      <c r="K162" s="28"/>
    </row>
    <row r="163" spans="1:11">
      <c r="A163" s="28"/>
      <c r="B163" s="28"/>
      <c r="C163" s="28"/>
      <c r="D163" s="29"/>
      <c r="E163" s="30"/>
      <c r="F163" s="30"/>
      <c r="G163" s="30"/>
      <c r="H163" s="30"/>
      <c r="I163" s="30"/>
      <c r="J163" s="30"/>
      <c r="K163" s="28"/>
    </row>
    <row r="164" spans="1:11">
      <c r="A164" s="28"/>
      <c r="B164" s="28"/>
      <c r="C164" s="28"/>
      <c r="D164" s="29"/>
      <c r="E164" s="30"/>
      <c r="F164" s="30"/>
      <c r="G164" s="30"/>
      <c r="H164" s="30"/>
      <c r="I164" s="30"/>
      <c r="J164" s="30"/>
      <c r="K164" s="28"/>
    </row>
    <row r="165" spans="1:11">
      <c r="A165" s="28"/>
      <c r="B165" s="28"/>
      <c r="C165" s="28"/>
      <c r="D165" s="29"/>
      <c r="E165" s="30"/>
      <c r="F165" s="30"/>
      <c r="G165" s="30"/>
      <c r="H165" s="30"/>
      <c r="I165" s="30"/>
      <c r="J165" s="30"/>
      <c r="K165" s="28"/>
    </row>
    <row r="166" spans="1:11">
      <c r="A166" s="28"/>
      <c r="B166" s="28"/>
      <c r="C166" s="28"/>
      <c r="D166" s="29"/>
      <c r="E166" s="30"/>
      <c r="F166" s="30"/>
      <c r="G166" s="30"/>
      <c r="H166" s="30"/>
      <c r="I166" s="30"/>
      <c r="J166" s="30"/>
      <c r="K166" s="28"/>
    </row>
    <row r="167" spans="1:11">
      <c r="A167" s="42"/>
      <c r="B167" s="42"/>
      <c r="C167" s="12"/>
      <c r="D167"/>
      <c r="G167" s="27"/>
    </row>
    <row r="168" spans="1:11">
      <c r="A168" s="42"/>
      <c r="B168" s="42"/>
      <c r="C168" s="12"/>
      <c r="D168"/>
    </row>
    <row r="169" spans="1:11">
      <c r="A169" s="1"/>
      <c r="B169" s="1"/>
      <c r="D169"/>
    </row>
  </sheetData>
  <mergeCells count="48">
    <mergeCell ref="A19:I19"/>
    <mergeCell ref="A1:K1"/>
    <mergeCell ref="D5:G5"/>
    <mergeCell ref="D7:G7"/>
    <mergeCell ref="A9:A10"/>
    <mergeCell ref="B9:B10"/>
    <mergeCell ref="C9:C10"/>
    <mergeCell ref="D9:D10"/>
    <mergeCell ref="E9:E10"/>
    <mergeCell ref="F9:G9"/>
    <mergeCell ref="H9:I9"/>
    <mergeCell ref="L9:O9"/>
    <mergeCell ref="P9:T9"/>
    <mergeCell ref="B11:K11"/>
    <mergeCell ref="A14:I14"/>
    <mergeCell ref="B15:K15"/>
    <mergeCell ref="A61:I61"/>
    <mergeCell ref="B20:K20"/>
    <mergeCell ref="A29:I29"/>
    <mergeCell ref="B30:K30"/>
    <mergeCell ref="A43:I43"/>
    <mergeCell ref="B44:K44"/>
    <mergeCell ref="A46:I46"/>
    <mergeCell ref="B47:K47"/>
    <mergeCell ref="A49:I49"/>
    <mergeCell ref="B50:K50"/>
    <mergeCell ref="A54:I54"/>
    <mergeCell ref="B55:K55"/>
    <mergeCell ref="A83:I83"/>
    <mergeCell ref="B62:K62"/>
    <mergeCell ref="A64:I64"/>
    <mergeCell ref="B65:K65"/>
    <mergeCell ref="A67:I67"/>
    <mergeCell ref="B68:K68"/>
    <mergeCell ref="A70:I70"/>
    <mergeCell ref="B71:K71"/>
    <mergeCell ref="A74:I74"/>
    <mergeCell ref="B75:K75"/>
    <mergeCell ref="A80:I80"/>
    <mergeCell ref="B81:K81"/>
    <mergeCell ref="C95:K95"/>
    <mergeCell ref="A96:I96"/>
    <mergeCell ref="B84:K84"/>
    <mergeCell ref="A88:I88"/>
    <mergeCell ref="B89:K89"/>
    <mergeCell ref="A91:I91"/>
    <mergeCell ref="B92:K92"/>
    <mergeCell ref="A94:I94"/>
  </mergeCells>
  <pageMargins left="0.51181102362204722" right="0.51181102362204722" top="0.78740157480314965" bottom="0.78740157480314965" header="0.31496062992125984" footer="0.31496062992125984"/>
  <pageSetup paperSize="9" scale="71" fitToHeight="10" orientation="landscape" r:id="rId1"/>
  <headerFooter>
    <oddFooter>&amp;LESTACIONAMENTO&amp;CPágina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5"/>
  <sheetViews>
    <sheetView topLeftCell="A31" zoomScale="70" zoomScaleNormal="70" workbookViewId="0">
      <selection activeCell="J19" sqref="J19"/>
    </sheetView>
  </sheetViews>
  <sheetFormatPr defaultRowHeight="15"/>
  <cols>
    <col min="1" max="1" width="9.5703125" style="269" customWidth="1"/>
    <col min="2" max="2" width="59.85546875" style="269" customWidth="1"/>
    <col min="3" max="3" width="18.42578125" style="270" customWidth="1"/>
    <col min="4" max="4" width="18.42578125" style="271" customWidth="1"/>
    <col min="5" max="5" width="16.7109375" style="271" bestFit="1" customWidth="1"/>
    <col min="6" max="8" width="16.7109375" style="271" customWidth="1"/>
    <col min="9" max="9" width="17.28515625" style="271" bestFit="1" customWidth="1"/>
    <col min="10" max="10" width="17.28515625" style="271" customWidth="1"/>
    <col min="11" max="11" width="16.7109375" style="271" bestFit="1" customWidth="1"/>
    <col min="12" max="12" width="26.140625" style="271" customWidth="1"/>
    <col min="13" max="13" width="9.85546875" style="271" customWidth="1"/>
    <col min="14" max="259" width="9.140625" style="268"/>
    <col min="260" max="260" width="9.5703125" style="268" customWidth="1"/>
    <col min="261" max="261" width="59.85546875" style="268" customWidth="1"/>
    <col min="262" max="263" width="18.42578125" style="268" customWidth="1"/>
    <col min="264" max="264" width="16.7109375" style="268" bestFit="1" customWidth="1"/>
    <col min="265" max="265" width="17.28515625" style="268" bestFit="1" customWidth="1"/>
    <col min="266" max="267" width="16.7109375" style="268" bestFit="1" customWidth="1"/>
    <col min="268" max="268" width="26.140625" style="268" bestFit="1" customWidth="1"/>
    <col min="269" max="269" width="0" style="268" hidden="1" customWidth="1"/>
    <col min="270" max="515" width="9.140625" style="268"/>
    <col min="516" max="516" width="9.5703125" style="268" customWidth="1"/>
    <col min="517" max="517" width="59.85546875" style="268" customWidth="1"/>
    <col min="518" max="519" width="18.42578125" style="268" customWidth="1"/>
    <col min="520" max="520" width="16.7109375" style="268" bestFit="1" customWidth="1"/>
    <col min="521" max="521" width="17.28515625" style="268" bestFit="1" customWidth="1"/>
    <col min="522" max="523" width="16.7109375" style="268" bestFit="1" customWidth="1"/>
    <col min="524" max="524" width="26.140625" style="268" bestFit="1" customWidth="1"/>
    <col min="525" max="525" width="0" style="268" hidden="1" customWidth="1"/>
    <col min="526" max="771" width="9.140625" style="268"/>
    <col min="772" max="772" width="9.5703125" style="268" customWidth="1"/>
    <col min="773" max="773" width="59.85546875" style="268" customWidth="1"/>
    <col min="774" max="775" width="18.42578125" style="268" customWidth="1"/>
    <col min="776" max="776" width="16.7109375" style="268" bestFit="1" customWidth="1"/>
    <col min="777" max="777" width="17.28515625" style="268" bestFit="1" customWidth="1"/>
    <col min="778" max="779" width="16.7109375" style="268" bestFit="1" customWidth="1"/>
    <col min="780" max="780" width="26.140625" style="268" bestFit="1" customWidth="1"/>
    <col min="781" max="781" width="0" style="268" hidden="1" customWidth="1"/>
    <col min="782" max="1027" width="9.140625" style="268"/>
    <col min="1028" max="1028" width="9.5703125" style="268" customWidth="1"/>
    <col min="1029" max="1029" width="59.85546875" style="268" customWidth="1"/>
    <col min="1030" max="1031" width="18.42578125" style="268" customWidth="1"/>
    <col min="1032" max="1032" width="16.7109375" style="268" bestFit="1" customWidth="1"/>
    <col min="1033" max="1033" width="17.28515625" style="268" bestFit="1" customWidth="1"/>
    <col min="1034" max="1035" width="16.7109375" style="268" bestFit="1" customWidth="1"/>
    <col min="1036" max="1036" width="26.140625" style="268" bestFit="1" customWidth="1"/>
    <col min="1037" max="1037" width="0" style="268" hidden="1" customWidth="1"/>
    <col min="1038" max="1283" width="9.140625" style="268"/>
    <col min="1284" max="1284" width="9.5703125" style="268" customWidth="1"/>
    <col min="1285" max="1285" width="59.85546875" style="268" customWidth="1"/>
    <col min="1286" max="1287" width="18.42578125" style="268" customWidth="1"/>
    <col min="1288" max="1288" width="16.7109375" style="268" bestFit="1" customWidth="1"/>
    <col min="1289" max="1289" width="17.28515625" style="268" bestFit="1" customWidth="1"/>
    <col min="1290" max="1291" width="16.7109375" style="268" bestFit="1" customWidth="1"/>
    <col min="1292" max="1292" width="26.140625" style="268" bestFit="1" customWidth="1"/>
    <col min="1293" max="1293" width="0" style="268" hidden="1" customWidth="1"/>
    <col min="1294" max="1539" width="9.140625" style="268"/>
    <col min="1540" max="1540" width="9.5703125" style="268" customWidth="1"/>
    <col min="1541" max="1541" width="59.85546875" style="268" customWidth="1"/>
    <col min="1542" max="1543" width="18.42578125" style="268" customWidth="1"/>
    <col min="1544" max="1544" width="16.7109375" style="268" bestFit="1" customWidth="1"/>
    <col min="1545" max="1545" width="17.28515625" style="268" bestFit="1" customWidth="1"/>
    <col min="1546" max="1547" width="16.7109375" style="268" bestFit="1" customWidth="1"/>
    <col min="1548" max="1548" width="26.140625" style="268" bestFit="1" customWidth="1"/>
    <col min="1549" max="1549" width="0" style="268" hidden="1" customWidth="1"/>
    <col min="1550" max="1795" width="9.140625" style="268"/>
    <col min="1796" max="1796" width="9.5703125" style="268" customWidth="1"/>
    <col min="1797" max="1797" width="59.85546875" style="268" customWidth="1"/>
    <col min="1798" max="1799" width="18.42578125" style="268" customWidth="1"/>
    <col min="1800" max="1800" width="16.7109375" style="268" bestFit="1" customWidth="1"/>
    <col min="1801" max="1801" width="17.28515625" style="268" bestFit="1" customWidth="1"/>
    <col min="1802" max="1803" width="16.7109375" style="268" bestFit="1" customWidth="1"/>
    <col min="1804" max="1804" width="26.140625" style="268" bestFit="1" customWidth="1"/>
    <col min="1805" max="1805" width="0" style="268" hidden="1" customWidth="1"/>
    <col min="1806" max="2051" width="9.140625" style="268"/>
    <col min="2052" max="2052" width="9.5703125" style="268" customWidth="1"/>
    <col min="2053" max="2053" width="59.85546875" style="268" customWidth="1"/>
    <col min="2054" max="2055" width="18.42578125" style="268" customWidth="1"/>
    <col min="2056" max="2056" width="16.7109375" style="268" bestFit="1" customWidth="1"/>
    <col min="2057" max="2057" width="17.28515625" style="268" bestFit="1" customWidth="1"/>
    <col min="2058" max="2059" width="16.7109375" style="268" bestFit="1" customWidth="1"/>
    <col min="2060" max="2060" width="26.140625" style="268" bestFit="1" customWidth="1"/>
    <col min="2061" max="2061" width="0" style="268" hidden="1" customWidth="1"/>
    <col min="2062" max="2307" width="9.140625" style="268"/>
    <col min="2308" max="2308" width="9.5703125" style="268" customWidth="1"/>
    <col min="2309" max="2309" width="59.85546875" style="268" customWidth="1"/>
    <col min="2310" max="2311" width="18.42578125" style="268" customWidth="1"/>
    <col min="2312" max="2312" width="16.7109375" style="268" bestFit="1" customWidth="1"/>
    <col min="2313" max="2313" width="17.28515625" style="268" bestFit="1" customWidth="1"/>
    <col min="2314" max="2315" width="16.7109375" style="268" bestFit="1" customWidth="1"/>
    <col min="2316" max="2316" width="26.140625" style="268" bestFit="1" customWidth="1"/>
    <col min="2317" max="2317" width="0" style="268" hidden="1" customWidth="1"/>
    <col min="2318" max="2563" width="9.140625" style="268"/>
    <col min="2564" max="2564" width="9.5703125" style="268" customWidth="1"/>
    <col min="2565" max="2565" width="59.85546875" style="268" customWidth="1"/>
    <col min="2566" max="2567" width="18.42578125" style="268" customWidth="1"/>
    <col min="2568" max="2568" width="16.7109375" style="268" bestFit="1" customWidth="1"/>
    <col min="2569" max="2569" width="17.28515625" style="268" bestFit="1" customWidth="1"/>
    <col min="2570" max="2571" width="16.7109375" style="268" bestFit="1" customWidth="1"/>
    <col min="2572" max="2572" width="26.140625" style="268" bestFit="1" customWidth="1"/>
    <col min="2573" max="2573" width="0" style="268" hidden="1" customWidth="1"/>
    <col min="2574" max="2819" width="9.140625" style="268"/>
    <col min="2820" max="2820" width="9.5703125" style="268" customWidth="1"/>
    <col min="2821" max="2821" width="59.85546875" style="268" customWidth="1"/>
    <col min="2822" max="2823" width="18.42578125" style="268" customWidth="1"/>
    <col min="2824" max="2824" width="16.7109375" style="268" bestFit="1" customWidth="1"/>
    <col min="2825" max="2825" width="17.28515625" style="268" bestFit="1" customWidth="1"/>
    <col min="2826" max="2827" width="16.7109375" style="268" bestFit="1" customWidth="1"/>
    <col min="2828" max="2828" width="26.140625" style="268" bestFit="1" customWidth="1"/>
    <col min="2829" max="2829" width="0" style="268" hidden="1" customWidth="1"/>
    <col min="2830" max="3075" width="9.140625" style="268"/>
    <col min="3076" max="3076" width="9.5703125" style="268" customWidth="1"/>
    <col min="3077" max="3077" width="59.85546875" style="268" customWidth="1"/>
    <col min="3078" max="3079" width="18.42578125" style="268" customWidth="1"/>
    <col min="3080" max="3080" width="16.7109375" style="268" bestFit="1" customWidth="1"/>
    <col min="3081" max="3081" width="17.28515625" style="268" bestFit="1" customWidth="1"/>
    <col min="3082" max="3083" width="16.7109375" style="268" bestFit="1" customWidth="1"/>
    <col min="3084" max="3084" width="26.140625" style="268" bestFit="1" customWidth="1"/>
    <col min="3085" max="3085" width="0" style="268" hidden="1" customWidth="1"/>
    <col min="3086" max="3331" width="9.140625" style="268"/>
    <col min="3332" max="3332" width="9.5703125" style="268" customWidth="1"/>
    <col min="3333" max="3333" width="59.85546875" style="268" customWidth="1"/>
    <col min="3334" max="3335" width="18.42578125" style="268" customWidth="1"/>
    <col min="3336" max="3336" width="16.7109375" style="268" bestFit="1" customWidth="1"/>
    <col min="3337" max="3337" width="17.28515625" style="268" bestFit="1" customWidth="1"/>
    <col min="3338" max="3339" width="16.7109375" style="268" bestFit="1" customWidth="1"/>
    <col min="3340" max="3340" width="26.140625" style="268" bestFit="1" customWidth="1"/>
    <col min="3341" max="3341" width="0" style="268" hidden="1" customWidth="1"/>
    <col min="3342" max="3587" width="9.140625" style="268"/>
    <col min="3588" max="3588" width="9.5703125" style="268" customWidth="1"/>
    <col min="3589" max="3589" width="59.85546875" style="268" customWidth="1"/>
    <col min="3590" max="3591" width="18.42578125" style="268" customWidth="1"/>
    <col min="3592" max="3592" width="16.7109375" style="268" bestFit="1" customWidth="1"/>
    <col min="3593" max="3593" width="17.28515625" style="268" bestFit="1" customWidth="1"/>
    <col min="3594" max="3595" width="16.7109375" style="268" bestFit="1" customWidth="1"/>
    <col min="3596" max="3596" width="26.140625" style="268" bestFit="1" customWidth="1"/>
    <col min="3597" max="3597" width="0" style="268" hidden="1" customWidth="1"/>
    <col min="3598" max="3843" width="9.140625" style="268"/>
    <col min="3844" max="3844" width="9.5703125" style="268" customWidth="1"/>
    <col min="3845" max="3845" width="59.85546875" style="268" customWidth="1"/>
    <col min="3846" max="3847" width="18.42578125" style="268" customWidth="1"/>
    <col min="3848" max="3848" width="16.7109375" style="268" bestFit="1" customWidth="1"/>
    <col min="3849" max="3849" width="17.28515625" style="268" bestFit="1" customWidth="1"/>
    <col min="3850" max="3851" width="16.7109375" style="268" bestFit="1" customWidth="1"/>
    <col min="3852" max="3852" width="26.140625" style="268" bestFit="1" customWidth="1"/>
    <col min="3853" max="3853" width="0" style="268" hidden="1" customWidth="1"/>
    <col min="3854" max="4099" width="9.140625" style="268"/>
    <col min="4100" max="4100" width="9.5703125" style="268" customWidth="1"/>
    <col min="4101" max="4101" width="59.85546875" style="268" customWidth="1"/>
    <col min="4102" max="4103" width="18.42578125" style="268" customWidth="1"/>
    <col min="4104" max="4104" width="16.7109375" style="268" bestFit="1" customWidth="1"/>
    <col min="4105" max="4105" width="17.28515625" style="268" bestFit="1" customWidth="1"/>
    <col min="4106" max="4107" width="16.7109375" style="268" bestFit="1" customWidth="1"/>
    <col min="4108" max="4108" width="26.140625" style="268" bestFit="1" customWidth="1"/>
    <col min="4109" max="4109" width="0" style="268" hidden="1" customWidth="1"/>
    <col min="4110" max="4355" width="9.140625" style="268"/>
    <col min="4356" max="4356" width="9.5703125" style="268" customWidth="1"/>
    <col min="4357" max="4357" width="59.85546875" style="268" customWidth="1"/>
    <col min="4358" max="4359" width="18.42578125" style="268" customWidth="1"/>
    <col min="4360" max="4360" width="16.7109375" style="268" bestFit="1" customWidth="1"/>
    <col min="4361" max="4361" width="17.28515625" style="268" bestFit="1" customWidth="1"/>
    <col min="4362" max="4363" width="16.7109375" style="268" bestFit="1" customWidth="1"/>
    <col min="4364" max="4364" width="26.140625" style="268" bestFit="1" customWidth="1"/>
    <col min="4365" max="4365" width="0" style="268" hidden="1" customWidth="1"/>
    <col min="4366" max="4611" width="9.140625" style="268"/>
    <col min="4612" max="4612" width="9.5703125" style="268" customWidth="1"/>
    <col min="4613" max="4613" width="59.85546875" style="268" customWidth="1"/>
    <col min="4614" max="4615" width="18.42578125" style="268" customWidth="1"/>
    <col min="4616" max="4616" width="16.7109375" style="268" bestFit="1" customWidth="1"/>
    <col min="4617" max="4617" width="17.28515625" style="268" bestFit="1" customWidth="1"/>
    <col min="4618" max="4619" width="16.7109375" style="268" bestFit="1" customWidth="1"/>
    <col min="4620" max="4620" width="26.140625" style="268" bestFit="1" customWidth="1"/>
    <col min="4621" max="4621" width="0" style="268" hidden="1" customWidth="1"/>
    <col min="4622" max="4867" width="9.140625" style="268"/>
    <col min="4868" max="4868" width="9.5703125" style="268" customWidth="1"/>
    <col min="4869" max="4869" width="59.85546875" style="268" customWidth="1"/>
    <col min="4870" max="4871" width="18.42578125" style="268" customWidth="1"/>
    <col min="4872" max="4872" width="16.7109375" style="268" bestFit="1" customWidth="1"/>
    <col min="4873" max="4873" width="17.28515625" style="268" bestFit="1" customWidth="1"/>
    <col min="4874" max="4875" width="16.7109375" style="268" bestFit="1" customWidth="1"/>
    <col min="4876" max="4876" width="26.140625" style="268" bestFit="1" customWidth="1"/>
    <col min="4877" max="4877" width="0" style="268" hidden="1" customWidth="1"/>
    <col min="4878" max="5123" width="9.140625" style="268"/>
    <col min="5124" max="5124" width="9.5703125" style="268" customWidth="1"/>
    <col min="5125" max="5125" width="59.85546875" style="268" customWidth="1"/>
    <col min="5126" max="5127" width="18.42578125" style="268" customWidth="1"/>
    <col min="5128" max="5128" width="16.7109375" style="268" bestFit="1" customWidth="1"/>
    <col min="5129" max="5129" width="17.28515625" style="268" bestFit="1" customWidth="1"/>
    <col min="5130" max="5131" width="16.7109375" style="268" bestFit="1" customWidth="1"/>
    <col min="5132" max="5132" width="26.140625" style="268" bestFit="1" customWidth="1"/>
    <col min="5133" max="5133" width="0" style="268" hidden="1" customWidth="1"/>
    <col min="5134" max="5379" width="9.140625" style="268"/>
    <col min="5380" max="5380" width="9.5703125" style="268" customWidth="1"/>
    <col min="5381" max="5381" width="59.85546875" style="268" customWidth="1"/>
    <col min="5382" max="5383" width="18.42578125" style="268" customWidth="1"/>
    <col min="5384" max="5384" width="16.7109375" style="268" bestFit="1" customWidth="1"/>
    <col min="5385" max="5385" width="17.28515625" style="268" bestFit="1" customWidth="1"/>
    <col min="5386" max="5387" width="16.7109375" style="268" bestFit="1" customWidth="1"/>
    <col min="5388" max="5388" width="26.140625" style="268" bestFit="1" customWidth="1"/>
    <col min="5389" max="5389" width="0" style="268" hidden="1" customWidth="1"/>
    <col min="5390" max="5635" width="9.140625" style="268"/>
    <col min="5636" max="5636" width="9.5703125" style="268" customWidth="1"/>
    <col min="5637" max="5637" width="59.85546875" style="268" customWidth="1"/>
    <col min="5638" max="5639" width="18.42578125" style="268" customWidth="1"/>
    <col min="5640" max="5640" width="16.7109375" style="268" bestFit="1" customWidth="1"/>
    <col min="5641" max="5641" width="17.28515625" style="268" bestFit="1" customWidth="1"/>
    <col min="5642" max="5643" width="16.7109375" style="268" bestFit="1" customWidth="1"/>
    <col min="5644" max="5644" width="26.140625" style="268" bestFit="1" customWidth="1"/>
    <col min="5645" max="5645" width="0" style="268" hidden="1" customWidth="1"/>
    <col min="5646" max="5891" width="9.140625" style="268"/>
    <col min="5892" max="5892" width="9.5703125" style="268" customWidth="1"/>
    <col min="5893" max="5893" width="59.85546875" style="268" customWidth="1"/>
    <col min="5894" max="5895" width="18.42578125" style="268" customWidth="1"/>
    <col min="5896" max="5896" width="16.7109375" style="268" bestFit="1" customWidth="1"/>
    <col min="5897" max="5897" width="17.28515625" style="268" bestFit="1" customWidth="1"/>
    <col min="5898" max="5899" width="16.7109375" style="268" bestFit="1" customWidth="1"/>
    <col min="5900" max="5900" width="26.140625" style="268" bestFit="1" customWidth="1"/>
    <col min="5901" max="5901" width="0" style="268" hidden="1" customWidth="1"/>
    <col min="5902" max="6147" width="9.140625" style="268"/>
    <col min="6148" max="6148" width="9.5703125" style="268" customWidth="1"/>
    <col min="6149" max="6149" width="59.85546875" style="268" customWidth="1"/>
    <col min="6150" max="6151" width="18.42578125" style="268" customWidth="1"/>
    <col min="6152" max="6152" width="16.7109375" style="268" bestFit="1" customWidth="1"/>
    <col min="6153" max="6153" width="17.28515625" style="268" bestFit="1" customWidth="1"/>
    <col min="6154" max="6155" width="16.7109375" style="268" bestFit="1" customWidth="1"/>
    <col min="6156" max="6156" width="26.140625" style="268" bestFit="1" customWidth="1"/>
    <col min="6157" max="6157" width="0" style="268" hidden="1" customWidth="1"/>
    <col min="6158" max="6403" width="9.140625" style="268"/>
    <col min="6404" max="6404" width="9.5703125" style="268" customWidth="1"/>
    <col min="6405" max="6405" width="59.85546875" style="268" customWidth="1"/>
    <col min="6406" max="6407" width="18.42578125" style="268" customWidth="1"/>
    <col min="6408" max="6408" width="16.7109375" style="268" bestFit="1" customWidth="1"/>
    <col min="6409" max="6409" width="17.28515625" style="268" bestFit="1" customWidth="1"/>
    <col min="6410" max="6411" width="16.7109375" style="268" bestFit="1" customWidth="1"/>
    <col min="6412" max="6412" width="26.140625" style="268" bestFit="1" customWidth="1"/>
    <col min="6413" max="6413" width="0" style="268" hidden="1" customWidth="1"/>
    <col min="6414" max="6659" width="9.140625" style="268"/>
    <col min="6660" max="6660" width="9.5703125" style="268" customWidth="1"/>
    <col min="6661" max="6661" width="59.85546875" style="268" customWidth="1"/>
    <col min="6662" max="6663" width="18.42578125" style="268" customWidth="1"/>
    <col min="6664" max="6664" width="16.7109375" style="268" bestFit="1" customWidth="1"/>
    <col min="6665" max="6665" width="17.28515625" style="268" bestFit="1" customWidth="1"/>
    <col min="6666" max="6667" width="16.7109375" style="268" bestFit="1" customWidth="1"/>
    <col min="6668" max="6668" width="26.140625" style="268" bestFit="1" customWidth="1"/>
    <col min="6669" max="6669" width="0" style="268" hidden="1" customWidth="1"/>
    <col min="6670" max="6915" width="9.140625" style="268"/>
    <col min="6916" max="6916" width="9.5703125" style="268" customWidth="1"/>
    <col min="6917" max="6917" width="59.85546875" style="268" customWidth="1"/>
    <col min="6918" max="6919" width="18.42578125" style="268" customWidth="1"/>
    <col min="6920" max="6920" width="16.7109375" style="268" bestFit="1" customWidth="1"/>
    <col min="6921" max="6921" width="17.28515625" style="268" bestFit="1" customWidth="1"/>
    <col min="6922" max="6923" width="16.7109375" style="268" bestFit="1" customWidth="1"/>
    <col min="6924" max="6924" width="26.140625" style="268" bestFit="1" customWidth="1"/>
    <col min="6925" max="6925" width="0" style="268" hidden="1" customWidth="1"/>
    <col min="6926" max="7171" width="9.140625" style="268"/>
    <col min="7172" max="7172" width="9.5703125" style="268" customWidth="1"/>
    <col min="7173" max="7173" width="59.85546875" style="268" customWidth="1"/>
    <col min="7174" max="7175" width="18.42578125" style="268" customWidth="1"/>
    <col min="7176" max="7176" width="16.7109375" style="268" bestFit="1" customWidth="1"/>
    <col min="7177" max="7177" width="17.28515625" style="268" bestFit="1" customWidth="1"/>
    <col min="7178" max="7179" width="16.7109375" style="268" bestFit="1" customWidth="1"/>
    <col min="7180" max="7180" width="26.140625" style="268" bestFit="1" customWidth="1"/>
    <col min="7181" max="7181" width="0" style="268" hidden="1" customWidth="1"/>
    <col min="7182" max="7427" width="9.140625" style="268"/>
    <col min="7428" max="7428" width="9.5703125" style="268" customWidth="1"/>
    <col min="7429" max="7429" width="59.85546875" style="268" customWidth="1"/>
    <col min="7430" max="7431" width="18.42578125" style="268" customWidth="1"/>
    <col min="7432" max="7432" width="16.7109375" style="268" bestFit="1" customWidth="1"/>
    <col min="7433" max="7433" width="17.28515625" style="268" bestFit="1" customWidth="1"/>
    <col min="7434" max="7435" width="16.7109375" style="268" bestFit="1" customWidth="1"/>
    <col min="7436" max="7436" width="26.140625" style="268" bestFit="1" customWidth="1"/>
    <col min="7437" max="7437" width="0" style="268" hidden="1" customWidth="1"/>
    <col min="7438" max="7683" width="9.140625" style="268"/>
    <col min="7684" max="7684" width="9.5703125" style="268" customWidth="1"/>
    <col min="7685" max="7685" width="59.85546875" style="268" customWidth="1"/>
    <col min="7686" max="7687" width="18.42578125" style="268" customWidth="1"/>
    <col min="7688" max="7688" width="16.7109375" style="268" bestFit="1" customWidth="1"/>
    <col min="7689" max="7689" width="17.28515625" style="268" bestFit="1" customWidth="1"/>
    <col min="7690" max="7691" width="16.7109375" style="268" bestFit="1" customWidth="1"/>
    <col min="7692" max="7692" width="26.140625" style="268" bestFit="1" customWidth="1"/>
    <col min="7693" max="7693" width="0" style="268" hidden="1" customWidth="1"/>
    <col min="7694" max="7939" width="9.140625" style="268"/>
    <col min="7940" max="7940" width="9.5703125" style="268" customWidth="1"/>
    <col min="7941" max="7941" width="59.85546875" style="268" customWidth="1"/>
    <col min="7942" max="7943" width="18.42578125" style="268" customWidth="1"/>
    <col min="7944" max="7944" width="16.7109375" style="268" bestFit="1" customWidth="1"/>
    <col min="7945" max="7945" width="17.28515625" style="268" bestFit="1" customWidth="1"/>
    <col min="7946" max="7947" width="16.7109375" style="268" bestFit="1" customWidth="1"/>
    <col min="7948" max="7948" width="26.140625" style="268" bestFit="1" customWidth="1"/>
    <col min="7949" max="7949" width="0" style="268" hidden="1" customWidth="1"/>
    <col min="7950" max="8195" width="9.140625" style="268"/>
    <col min="8196" max="8196" width="9.5703125" style="268" customWidth="1"/>
    <col min="8197" max="8197" width="59.85546875" style="268" customWidth="1"/>
    <col min="8198" max="8199" width="18.42578125" style="268" customWidth="1"/>
    <col min="8200" max="8200" width="16.7109375" style="268" bestFit="1" customWidth="1"/>
    <col min="8201" max="8201" width="17.28515625" style="268" bestFit="1" customWidth="1"/>
    <col min="8202" max="8203" width="16.7109375" style="268" bestFit="1" customWidth="1"/>
    <col min="8204" max="8204" width="26.140625" style="268" bestFit="1" customWidth="1"/>
    <col min="8205" max="8205" width="0" style="268" hidden="1" customWidth="1"/>
    <col min="8206" max="8451" width="9.140625" style="268"/>
    <col min="8452" max="8452" width="9.5703125" style="268" customWidth="1"/>
    <col min="8453" max="8453" width="59.85546875" style="268" customWidth="1"/>
    <col min="8454" max="8455" width="18.42578125" style="268" customWidth="1"/>
    <col min="8456" max="8456" width="16.7109375" style="268" bestFit="1" customWidth="1"/>
    <col min="8457" max="8457" width="17.28515625" style="268" bestFit="1" customWidth="1"/>
    <col min="8458" max="8459" width="16.7109375" style="268" bestFit="1" customWidth="1"/>
    <col min="8460" max="8460" width="26.140625" style="268" bestFit="1" customWidth="1"/>
    <col min="8461" max="8461" width="0" style="268" hidden="1" customWidth="1"/>
    <col min="8462" max="8707" width="9.140625" style="268"/>
    <col min="8708" max="8708" width="9.5703125" style="268" customWidth="1"/>
    <col min="8709" max="8709" width="59.85546875" style="268" customWidth="1"/>
    <col min="8710" max="8711" width="18.42578125" style="268" customWidth="1"/>
    <col min="8712" max="8712" width="16.7109375" style="268" bestFit="1" customWidth="1"/>
    <col min="8713" max="8713" width="17.28515625" style="268" bestFit="1" customWidth="1"/>
    <col min="8714" max="8715" width="16.7109375" style="268" bestFit="1" customWidth="1"/>
    <col min="8716" max="8716" width="26.140625" style="268" bestFit="1" customWidth="1"/>
    <col min="8717" max="8717" width="0" style="268" hidden="1" customWidth="1"/>
    <col min="8718" max="8963" width="9.140625" style="268"/>
    <col min="8964" max="8964" width="9.5703125" style="268" customWidth="1"/>
    <col min="8965" max="8965" width="59.85546875" style="268" customWidth="1"/>
    <col min="8966" max="8967" width="18.42578125" style="268" customWidth="1"/>
    <col min="8968" max="8968" width="16.7109375" style="268" bestFit="1" customWidth="1"/>
    <col min="8969" max="8969" width="17.28515625" style="268" bestFit="1" customWidth="1"/>
    <col min="8970" max="8971" width="16.7109375" style="268" bestFit="1" customWidth="1"/>
    <col min="8972" max="8972" width="26.140625" style="268" bestFit="1" customWidth="1"/>
    <col min="8973" max="8973" width="0" style="268" hidden="1" customWidth="1"/>
    <col min="8974" max="9219" width="9.140625" style="268"/>
    <col min="9220" max="9220" width="9.5703125" style="268" customWidth="1"/>
    <col min="9221" max="9221" width="59.85546875" style="268" customWidth="1"/>
    <col min="9222" max="9223" width="18.42578125" style="268" customWidth="1"/>
    <col min="9224" max="9224" width="16.7109375" style="268" bestFit="1" customWidth="1"/>
    <col min="9225" max="9225" width="17.28515625" style="268" bestFit="1" customWidth="1"/>
    <col min="9226" max="9227" width="16.7109375" style="268" bestFit="1" customWidth="1"/>
    <col min="9228" max="9228" width="26.140625" style="268" bestFit="1" customWidth="1"/>
    <col min="9229" max="9229" width="0" style="268" hidden="1" customWidth="1"/>
    <col min="9230" max="9475" width="9.140625" style="268"/>
    <col min="9476" max="9476" width="9.5703125" style="268" customWidth="1"/>
    <col min="9477" max="9477" width="59.85546875" style="268" customWidth="1"/>
    <col min="9478" max="9479" width="18.42578125" style="268" customWidth="1"/>
    <col min="9480" max="9480" width="16.7109375" style="268" bestFit="1" customWidth="1"/>
    <col min="9481" max="9481" width="17.28515625" style="268" bestFit="1" customWidth="1"/>
    <col min="9482" max="9483" width="16.7109375" style="268" bestFit="1" customWidth="1"/>
    <col min="9484" max="9484" width="26.140625" style="268" bestFit="1" customWidth="1"/>
    <col min="9485" max="9485" width="0" style="268" hidden="1" customWidth="1"/>
    <col min="9486" max="9731" width="9.140625" style="268"/>
    <col min="9732" max="9732" width="9.5703125" style="268" customWidth="1"/>
    <col min="9733" max="9733" width="59.85546875" style="268" customWidth="1"/>
    <col min="9734" max="9735" width="18.42578125" style="268" customWidth="1"/>
    <col min="9736" max="9736" width="16.7109375" style="268" bestFit="1" customWidth="1"/>
    <col min="9737" max="9737" width="17.28515625" style="268" bestFit="1" customWidth="1"/>
    <col min="9738" max="9739" width="16.7109375" style="268" bestFit="1" customWidth="1"/>
    <col min="9740" max="9740" width="26.140625" style="268" bestFit="1" customWidth="1"/>
    <col min="9741" max="9741" width="0" style="268" hidden="1" customWidth="1"/>
    <col min="9742" max="9987" width="9.140625" style="268"/>
    <col min="9988" max="9988" width="9.5703125" style="268" customWidth="1"/>
    <col min="9989" max="9989" width="59.85546875" style="268" customWidth="1"/>
    <col min="9990" max="9991" width="18.42578125" style="268" customWidth="1"/>
    <col min="9992" max="9992" width="16.7109375" style="268" bestFit="1" customWidth="1"/>
    <col min="9993" max="9993" width="17.28515625" style="268" bestFit="1" customWidth="1"/>
    <col min="9994" max="9995" width="16.7109375" style="268" bestFit="1" customWidth="1"/>
    <col min="9996" max="9996" width="26.140625" style="268" bestFit="1" customWidth="1"/>
    <col min="9997" max="9997" width="0" style="268" hidden="1" customWidth="1"/>
    <col min="9998" max="10243" width="9.140625" style="268"/>
    <col min="10244" max="10244" width="9.5703125" style="268" customWidth="1"/>
    <col min="10245" max="10245" width="59.85546875" style="268" customWidth="1"/>
    <col min="10246" max="10247" width="18.42578125" style="268" customWidth="1"/>
    <col min="10248" max="10248" width="16.7109375" style="268" bestFit="1" customWidth="1"/>
    <col min="10249" max="10249" width="17.28515625" style="268" bestFit="1" customWidth="1"/>
    <col min="10250" max="10251" width="16.7109375" style="268" bestFit="1" customWidth="1"/>
    <col min="10252" max="10252" width="26.140625" style="268" bestFit="1" customWidth="1"/>
    <col min="10253" max="10253" width="0" style="268" hidden="1" customWidth="1"/>
    <col min="10254" max="10499" width="9.140625" style="268"/>
    <col min="10500" max="10500" width="9.5703125" style="268" customWidth="1"/>
    <col min="10501" max="10501" width="59.85546875" style="268" customWidth="1"/>
    <col min="10502" max="10503" width="18.42578125" style="268" customWidth="1"/>
    <col min="10504" max="10504" width="16.7109375" style="268" bestFit="1" customWidth="1"/>
    <col min="10505" max="10505" width="17.28515625" style="268" bestFit="1" customWidth="1"/>
    <col min="10506" max="10507" width="16.7109375" style="268" bestFit="1" customWidth="1"/>
    <col min="10508" max="10508" width="26.140625" style="268" bestFit="1" customWidth="1"/>
    <col min="10509" max="10509" width="0" style="268" hidden="1" customWidth="1"/>
    <col min="10510" max="10755" width="9.140625" style="268"/>
    <col min="10756" max="10756" width="9.5703125" style="268" customWidth="1"/>
    <col min="10757" max="10757" width="59.85546875" style="268" customWidth="1"/>
    <col min="10758" max="10759" width="18.42578125" style="268" customWidth="1"/>
    <col min="10760" max="10760" width="16.7109375" style="268" bestFit="1" customWidth="1"/>
    <col min="10761" max="10761" width="17.28515625" style="268" bestFit="1" customWidth="1"/>
    <col min="10762" max="10763" width="16.7109375" style="268" bestFit="1" customWidth="1"/>
    <col min="10764" max="10764" width="26.140625" style="268" bestFit="1" customWidth="1"/>
    <col min="10765" max="10765" width="0" style="268" hidden="1" customWidth="1"/>
    <col min="10766" max="11011" width="9.140625" style="268"/>
    <col min="11012" max="11012" width="9.5703125" style="268" customWidth="1"/>
    <col min="11013" max="11013" width="59.85546875" style="268" customWidth="1"/>
    <col min="11014" max="11015" width="18.42578125" style="268" customWidth="1"/>
    <col min="11016" max="11016" width="16.7109375" style="268" bestFit="1" customWidth="1"/>
    <col min="11017" max="11017" width="17.28515625" style="268" bestFit="1" customWidth="1"/>
    <col min="11018" max="11019" width="16.7109375" style="268" bestFit="1" customWidth="1"/>
    <col min="11020" max="11020" width="26.140625" style="268" bestFit="1" customWidth="1"/>
    <col min="11021" max="11021" width="0" style="268" hidden="1" customWidth="1"/>
    <col min="11022" max="11267" width="9.140625" style="268"/>
    <col min="11268" max="11268" width="9.5703125" style="268" customWidth="1"/>
    <col min="11269" max="11269" width="59.85546875" style="268" customWidth="1"/>
    <col min="11270" max="11271" width="18.42578125" style="268" customWidth="1"/>
    <col min="11272" max="11272" width="16.7109375" style="268" bestFit="1" customWidth="1"/>
    <col min="11273" max="11273" width="17.28515625" style="268" bestFit="1" customWidth="1"/>
    <col min="11274" max="11275" width="16.7109375" style="268" bestFit="1" customWidth="1"/>
    <col min="11276" max="11276" width="26.140625" style="268" bestFit="1" customWidth="1"/>
    <col min="11277" max="11277" width="0" style="268" hidden="1" customWidth="1"/>
    <col min="11278" max="11523" width="9.140625" style="268"/>
    <col min="11524" max="11524" width="9.5703125" style="268" customWidth="1"/>
    <col min="11525" max="11525" width="59.85546875" style="268" customWidth="1"/>
    <col min="11526" max="11527" width="18.42578125" style="268" customWidth="1"/>
    <col min="11528" max="11528" width="16.7109375" style="268" bestFit="1" customWidth="1"/>
    <col min="11529" max="11529" width="17.28515625" style="268" bestFit="1" customWidth="1"/>
    <col min="11530" max="11531" width="16.7109375" style="268" bestFit="1" customWidth="1"/>
    <col min="11532" max="11532" width="26.140625" style="268" bestFit="1" customWidth="1"/>
    <col min="11533" max="11533" width="0" style="268" hidden="1" customWidth="1"/>
    <col min="11534" max="11779" width="9.140625" style="268"/>
    <col min="11780" max="11780" width="9.5703125" style="268" customWidth="1"/>
    <col min="11781" max="11781" width="59.85546875" style="268" customWidth="1"/>
    <col min="11782" max="11783" width="18.42578125" style="268" customWidth="1"/>
    <col min="11784" max="11784" width="16.7109375" style="268" bestFit="1" customWidth="1"/>
    <col min="11785" max="11785" width="17.28515625" style="268" bestFit="1" customWidth="1"/>
    <col min="11786" max="11787" width="16.7109375" style="268" bestFit="1" customWidth="1"/>
    <col min="11788" max="11788" width="26.140625" style="268" bestFit="1" customWidth="1"/>
    <col min="11789" max="11789" width="0" style="268" hidden="1" customWidth="1"/>
    <col min="11790" max="12035" width="9.140625" style="268"/>
    <col min="12036" max="12036" width="9.5703125" style="268" customWidth="1"/>
    <col min="12037" max="12037" width="59.85546875" style="268" customWidth="1"/>
    <col min="12038" max="12039" width="18.42578125" style="268" customWidth="1"/>
    <col min="12040" max="12040" width="16.7109375" style="268" bestFit="1" customWidth="1"/>
    <col min="12041" max="12041" width="17.28515625" style="268" bestFit="1" customWidth="1"/>
    <col min="12042" max="12043" width="16.7109375" style="268" bestFit="1" customWidth="1"/>
    <col min="12044" max="12044" width="26.140625" style="268" bestFit="1" customWidth="1"/>
    <col min="12045" max="12045" width="0" style="268" hidden="1" customWidth="1"/>
    <col min="12046" max="12291" width="9.140625" style="268"/>
    <col min="12292" max="12292" width="9.5703125" style="268" customWidth="1"/>
    <col min="12293" max="12293" width="59.85546875" style="268" customWidth="1"/>
    <col min="12294" max="12295" width="18.42578125" style="268" customWidth="1"/>
    <col min="12296" max="12296" width="16.7109375" style="268" bestFit="1" customWidth="1"/>
    <col min="12297" max="12297" width="17.28515625" style="268" bestFit="1" customWidth="1"/>
    <col min="12298" max="12299" width="16.7109375" style="268" bestFit="1" customWidth="1"/>
    <col min="12300" max="12300" width="26.140625" style="268" bestFit="1" customWidth="1"/>
    <col min="12301" max="12301" width="0" style="268" hidden="1" customWidth="1"/>
    <col min="12302" max="12547" width="9.140625" style="268"/>
    <col min="12548" max="12548" width="9.5703125" style="268" customWidth="1"/>
    <col min="12549" max="12549" width="59.85546875" style="268" customWidth="1"/>
    <col min="12550" max="12551" width="18.42578125" style="268" customWidth="1"/>
    <col min="12552" max="12552" width="16.7109375" style="268" bestFit="1" customWidth="1"/>
    <col min="12553" max="12553" width="17.28515625" style="268" bestFit="1" customWidth="1"/>
    <col min="12554" max="12555" width="16.7109375" style="268" bestFit="1" customWidth="1"/>
    <col min="12556" max="12556" width="26.140625" style="268" bestFit="1" customWidth="1"/>
    <col min="12557" max="12557" width="0" style="268" hidden="1" customWidth="1"/>
    <col min="12558" max="12803" width="9.140625" style="268"/>
    <col min="12804" max="12804" width="9.5703125" style="268" customWidth="1"/>
    <col min="12805" max="12805" width="59.85546875" style="268" customWidth="1"/>
    <col min="12806" max="12807" width="18.42578125" style="268" customWidth="1"/>
    <col min="12808" max="12808" width="16.7109375" style="268" bestFit="1" customWidth="1"/>
    <col min="12809" max="12809" width="17.28515625" style="268" bestFit="1" customWidth="1"/>
    <col min="12810" max="12811" width="16.7109375" style="268" bestFit="1" customWidth="1"/>
    <col min="12812" max="12812" width="26.140625" style="268" bestFit="1" customWidth="1"/>
    <col min="12813" max="12813" width="0" style="268" hidden="1" customWidth="1"/>
    <col min="12814" max="13059" width="9.140625" style="268"/>
    <col min="13060" max="13060" width="9.5703125" style="268" customWidth="1"/>
    <col min="13061" max="13061" width="59.85546875" style="268" customWidth="1"/>
    <col min="13062" max="13063" width="18.42578125" style="268" customWidth="1"/>
    <col min="13064" max="13064" width="16.7109375" style="268" bestFit="1" customWidth="1"/>
    <col min="13065" max="13065" width="17.28515625" style="268" bestFit="1" customWidth="1"/>
    <col min="13066" max="13067" width="16.7109375" style="268" bestFit="1" customWidth="1"/>
    <col min="13068" max="13068" width="26.140625" style="268" bestFit="1" customWidth="1"/>
    <col min="13069" max="13069" width="0" style="268" hidden="1" customWidth="1"/>
    <col min="13070" max="13315" width="9.140625" style="268"/>
    <col min="13316" max="13316" width="9.5703125" style="268" customWidth="1"/>
    <col min="13317" max="13317" width="59.85546875" style="268" customWidth="1"/>
    <col min="13318" max="13319" width="18.42578125" style="268" customWidth="1"/>
    <col min="13320" max="13320" width="16.7109375" style="268" bestFit="1" customWidth="1"/>
    <col min="13321" max="13321" width="17.28515625" style="268" bestFit="1" customWidth="1"/>
    <col min="13322" max="13323" width="16.7109375" style="268" bestFit="1" customWidth="1"/>
    <col min="13324" max="13324" width="26.140625" style="268" bestFit="1" customWidth="1"/>
    <col min="13325" max="13325" width="0" style="268" hidden="1" customWidth="1"/>
    <col min="13326" max="13571" width="9.140625" style="268"/>
    <col min="13572" max="13572" width="9.5703125" style="268" customWidth="1"/>
    <col min="13573" max="13573" width="59.85546875" style="268" customWidth="1"/>
    <col min="13574" max="13575" width="18.42578125" style="268" customWidth="1"/>
    <col min="13576" max="13576" width="16.7109375" style="268" bestFit="1" customWidth="1"/>
    <col min="13577" max="13577" width="17.28515625" style="268" bestFit="1" customWidth="1"/>
    <col min="13578" max="13579" width="16.7109375" style="268" bestFit="1" customWidth="1"/>
    <col min="13580" max="13580" width="26.140625" style="268" bestFit="1" customWidth="1"/>
    <col min="13581" max="13581" width="0" style="268" hidden="1" customWidth="1"/>
    <col min="13582" max="13827" width="9.140625" style="268"/>
    <col min="13828" max="13828" width="9.5703125" style="268" customWidth="1"/>
    <col min="13829" max="13829" width="59.85546875" style="268" customWidth="1"/>
    <col min="13830" max="13831" width="18.42578125" style="268" customWidth="1"/>
    <col min="13832" max="13832" width="16.7109375" style="268" bestFit="1" customWidth="1"/>
    <col min="13833" max="13833" width="17.28515625" style="268" bestFit="1" customWidth="1"/>
    <col min="13834" max="13835" width="16.7109375" style="268" bestFit="1" customWidth="1"/>
    <col min="13836" max="13836" width="26.140625" style="268" bestFit="1" customWidth="1"/>
    <col min="13837" max="13837" width="0" style="268" hidden="1" customWidth="1"/>
    <col min="13838" max="14083" width="9.140625" style="268"/>
    <col min="14084" max="14084" width="9.5703125" style="268" customWidth="1"/>
    <col min="14085" max="14085" width="59.85546875" style="268" customWidth="1"/>
    <col min="14086" max="14087" width="18.42578125" style="268" customWidth="1"/>
    <col min="14088" max="14088" width="16.7109375" style="268" bestFit="1" customWidth="1"/>
    <col min="14089" max="14089" width="17.28515625" style="268" bestFit="1" customWidth="1"/>
    <col min="14090" max="14091" width="16.7109375" style="268" bestFit="1" customWidth="1"/>
    <col min="14092" max="14092" width="26.140625" style="268" bestFit="1" customWidth="1"/>
    <col min="14093" max="14093" width="0" style="268" hidden="1" customWidth="1"/>
    <col min="14094" max="14339" width="9.140625" style="268"/>
    <col min="14340" max="14340" width="9.5703125" style="268" customWidth="1"/>
    <col min="14341" max="14341" width="59.85546875" style="268" customWidth="1"/>
    <col min="14342" max="14343" width="18.42578125" style="268" customWidth="1"/>
    <col min="14344" max="14344" width="16.7109375" style="268" bestFit="1" customWidth="1"/>
    <col min="14345" max="14345" width="17.28515625" style="268" bestFit="1" customWidth="1"/>
    <col min="14346" max="14347" width="16.7109375" style="268" bestFit="1" customWidth="1"/>
    <col min="14348" max="14348" width="26.140625" style="268" bestFit="1" customWidth="1"/>
    <col min="14349" max="14349" width="0" style="268" hidden="1" customWidth="1"/>
    <col min="14350" max="14595" width="9.140625" style="268"/>
    <col min="14596" max="14596" width="9.5703125" style="268" customWidth="1"/>
    <col min="14597" max="14597" width="59.85546875" style="268" customWidth="1"/>
    <col min="14598" max="14599" width="18.42578125" style="268" customWidth="1"/>
    <col min="14600" max="14600" width="16.7109375" style="268" bestFit="1" customWidth="1"/>
    <col min="14601" max="14601" width="17.28515625" style="268" bestFit="1" customWidth="1"/>
    <col min="14602" max="14603" width="16.7109375" style="268" bestFit="1" customWidth="1"/>
    <col min="14604" max="14604" width="26.140625" style="268" bestFit="1" customWidth="1"/>
    <col min="14605" max="14605" width="0" style="268" hidden="1" customWidth="1"/>
    <col min="14606" max="14851" width="9.140625" style="268"/>
    <col min="14852" max="14852" width="9.5703125" style="268" customWidth="1"/>
    <col min="14853" max="14853" width="59.85546875" style="268" customWidth="1"/>
    <col min="14854" max="14855" width="18.42578125" style="268" customWidth="1"/>
    <col min="14856" max="14856" width="16.7109375" style="268" bestFit="1" customWidth="1"/>
    <col min="14857" max="14857" width="17.28515625" style="268" bestFit="1" customWidth="1"/>
    <col min="14858" max="14859" width="16.7109375" style="268" bestFit="1" customWidth="1"/>
    <col min="14860" max="14860" width="26.140625" style="268" bestFit="1" customWidth="1"/>
    <col min="14861" max="14861" width="0" style="268" hidden="1" customWidth="1"/>
    <col min="14862" max="15107" width="9.140625" style="268"/>
    <col min="15108" max="15108" width="9.5703125" style="268" customWidth="1"/>
    <col min="15109" max="15109" width="59.85546875" style="268" customWidth="1"/>
    <col min="15110" max="15111" width="18.42578125" style="268" customWidth="1"/>
    <col min="15112" max="15112" width="16.7109375" style="268" bestFit="1" customWidth="1"/>
    <col min="15113" max="15113" width="17.28515625" style="268" bestFit="1" customWidth="1"/>
    <col min="15114" max="15115" width="16.7109375" style="268" bestFit="1" customWidth="1"/>
    <col min="15116" max="15116" width="26.140625" style="268" bestFit="1" customWidth="1"/>
    <col min="15117" max="15117" width="0" style="268" hidden="1" customWidth="1"/>
    <col min="15118" max="15363" width="9.140625" style="268"/>
    <col min="15364" max="15364" width="9.5703125" style="268" customWidth="1"/>
    <col min="15365" max="15365" width="59.85546875" style="268" customWidth="1"/>
    <col min="15366" max="15367" width="18.42578125" style="268" customWidth="1"/>
    <col min="15368" max="15368" width="16.7109375" style="268" bestFit="1" customWidth="1"/>
    <col min="15369" max="15369" width="17.28515625" style="268" bestFit="1" customWidth="1"/>
    <col min="15370" max="15371" width="16.7109375" style="268" bestFit="1" customWidth="1"/>
    <col min="15372" max="15372" width="26.140625" style="268" bestFit="1" customWidth="1"/>
    <col min="15373" max="15373" width="0" style="268" hidden="1" customWidth="1"/>
    <col min="15374" max="15619" width="9.140625" style="268"/>
    <col min="15620" max="15620" width="9.5703125" style="268" customWidth="1"/>
    <col min="15621" max="15621" width="59.85546875" style="268" customWidth="1"/>
    <col min="15622" max="15623" width="18.42578125" style="268" customWidth="1"/>
    <col min="15624" max="15624" width="16.7109375" style="268" bestFit="1" customWidth="1"/>
    <col min="15625" max="15625" width="17.28515625" style="268" bestFit="1" customWidth="1"/>
    <col min="15626" max="15627" width="16.7109375" style="268" bestFit="1" customWidth="1"/>
    <col min="15628" max="15628" width="26.140625" style="268" bestFit="1" customWidth="1"/>
    <col min="15629" max="15629" width="0" style="268" hidden="1" customWidth="1"/>
    <col min="15630" max="15875" width="9.140625" style="268"/>
    <col min="15876" max="15876" width="9.5703125" style="268" customWidth="1"/>
    <col min="15877" max="15877" width="59.85546875" style="268" customWidth="1"/>
    <col min="15878" max="15879" width="18.42578125" style="268" customWidth="1"/>
    <col min="15880" max="15880" width="16.7109375" style="268" bestFit="1" customWidth="1"/>
    <col min="15881" max="15881" width="17.28515625" style="268" bestFit="1" customWidth="1"/>
    <col min="15882" max="15883" width="16.7109375" style="268" bestFit="1" customWidth="1"/>
    <col min="15884" max="15884" width="26.140625" style="268" bestFit="1" customWidth="1"/>
    <col min="15885" max="15885" width="0" style="268" hidden="1" customWidth="1"/>
    <col min="15886" max="16131" width="9.140625" style="268"/>
    <col min="16132" max="16132" width="9.5703125" style="268" customWidth="1"/>
    <col min="16133" max="16133" width="59.85546875" style="268" customWidth="1"/>
    <col min="16134" max="16135" width="18.42578125" style="268" customWidth="1"/>
    <col min="16136" max="16136" width="16.7109375" style="268" bestFit="1" customWidth="1"/>
    <col min="16137" max="16137" width="17.28515625" style="268" bestFit="1" customWidth="1"/>
    <col min="16138" max="16139" width="16.7109375" style="268" bestFit="1" customWidth="1"/>
    <col min="16140" max="16140" width="26.140625" style="268" bestFit="1" customWidth="1"/>
    <col min="16141" max="16141" width="0" style="268" hidden="1" customWidth="1"/>
    <col min="16142" max="16384" width="9.140625" style="268"/>
  </cols>
  <sheetData>
    <row r="1" spans="1:13" s="263" customFormat="1" ht="23.25">
      <c r="A1" s="576" t="s">
        <v>644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</row>
    <row r="2" spans="1:13" s="263" customFormat="1" ht="23.25">
      <c r="A2" s="264"/>
      <c r="B2" s="264"/>
      <c r="C2" s="577" t="s">
        <v>651</v>
      </c>
      <c r="D2" s="578"/>
      <c r="E2" s="578"/>
      <c r="F2" s="578"/>
      <c r="G2" s="578"/>
      <c r="H2" s="578"/>
      <c r="I2" s="578"/>
      <c r="J2" s="312"/>
      <c r="K2" s="264"/>
      <c r="L2" s="264"/>
    </row>
    <row r="3" spans="1:13" s="263" customFormat="1" ht="23.25">
      <c r="A3" s="264"/>
      <c r="B3" s="264"/>
      <c r="C3" s="579" t="s">
        <v>664</v>
      </c>
      <c r="D3" s="579"/>
      <c r="E3" s="264"/>
      <c r="F3" s="304"/>
      <c r="G3" s="304"/>
      <c r="H3" s="304"/>
      <c r="I3" s="264"/>
      <c r="J3" s="311"/>
      <c r="K3" s="264"/>
      <c r="L3" s="264"/>
    </row>
    <row r="4" spans="1:13" s="263" customFormat="1" ht="23.25">
      <c r="A4" s="264"/>
      <c r="B4" s="264"/>
      <c r="C4" s="579" t="s">
        <v>739</v>
      </c>
      <c r="D4" s="579"/>
      <c r="E4" s="264"/>
      <c r="F4" s="304"/>
      <c r="G4" s="304"/>
      <c r="H4" s="304"/>
      <c r="I4" s="264"/>
      <c r="J4" s="311"/>
      <c r="K4" s="264"/>
      <c r="L4" s="264"/>
    </row>
    <row r="5" spans="1:13" s="263" customFormat="1" ht="23.25">
      <c r="A5" s="264"/>
      <c r="B5" s="264"/>
      <c r="C5" s="577" t="s">
        <v>728</v>
      </c>
      <c r="D5" s="580"/>
      <c r="E5" s="264"/>
      <c r="F5" s="304"/>
      <c r="G5" s="304"/>
      <c r="H5" s="304"/>
      <c r="I5" s="264"/>
      <c r="J5" s="311"/>
      <c r="K5" s="264"/>
      <c r="L5" s="264"/>
    </row>
    <row r="6" spans="1:13" s="263" customFormat="1" ht="23.25">
      <c r="A6" s="264"/>
      <c r="B6" s="264"/>
      <c r="C6" s="287" t="s">
        <v>663</v>
      </c>
      <c r="D6" s="279"/>
      <c r="E6" s="264"/>
      <c r="F6" s="304"/>
      <c r="G6" s="304"/>
      <c r="H6" s="304"/>
      <c r="I6" s="264"/>
      <c r="J6" s="311"/>
      <c r="K6" s="264"/>
      <c r="L6" s="264"/>
    </row>
    <row r="7" spans="1:13" s="265" customFormat="1" ht="15.75">
      <c r="A7" s="570" t="s">
        <v>0</v>
      </c>
      <c r="B7" s="571" t="s">
        <v>1</v>
      </c>
      <c r="C7" s="572" t="s">
        <v>645</v>
      </c>
      <c r="D7" s="573"/>
      <c r="E7" s="573"/>
      <c r="F7" s="573"/>
      <c r="G7" s="573"/>
      <c r="H7" s="573"/>
      <c r="I7" s="573"/>
      <c r="J7" s="573"/>
      <c r="K7" s="573"/>
      <c r="L7" s="574" t="s">
        <v>19</v>
      </c>
    </row>
    <row r="8" spans="1:13" s="265" customFormat="1" ht="15.75">
      <c r="A8" s="570"/>
      <c r="B8" s="571"/>
      <c r="C8" s="280" t="s">
        <v>646</v>
      </c>
      <c r="D8" s="280" t="s">
        <v>647</v>
      </c>
      <c r="E8" s="280" t="s">
        <v>648</v>
      </c>
      <c r="F8" s="280" t="s">
        <v>649</v>
      </c>
      <c r="G8" s="280" t="s">
        <v>650</v>
      </c>
      <c r="H8" s="280" t="s">
        <v>740</v>
      </c>
      <c r="I8" s="280" t="s">
        <v>741</v>
      </c>
      <c r="J8" s="280" t="s">
        <v>742</v>
      </c>
      <c r="K8" s="280" t="s">
        <v>846</v>
      </c>
      <c r="L8" s="575"/>
    </row>
    <row r="9" spans="1:13" s="266" customFormat="1">
      <c r="A9" s="581">
        <v>1</v>
      </c>
      <c r="B9" s="584" t="s">
        <v>24</v>
      </c>
      <c r="C9" s="283">
        <v>0.40400000000000003</v>
      </c>
      <c r="D9" s="283">
        <v>0.215</v>
      </c>
      <c r="E9" s="283">
        <v>0.20669999999999999</v>
      </c>
      <c r="F9" s="283">
        <v>0.1031</v>
      </c>
      <c r="G9" s="283">
        <v>7.1199999999999999E-2</v>
      </c>
      <c r="H9" s="346"/>
      <c r="I9" s="346"/>
      <c r="J9" s="346"/>
      <c r="K9" s="346"/>
      <c r="L9" s="341">
        <f>SUM(C9:K9)</f>
        <v>1</v>
      </c>
    </row>
    <row r="10" spans="1:13" s="267" customFormat="1">
      <c r="A10" s="581"/>
      <c r="B10" s="585"/>
      <c r="C10" s="284"/>
      <c r="D10" s="284"/>
      <c r="E10" s="284"/>
      <c r="F10" s="284"/>
      <c r="G10" s="284"/>
      <c r="H10" s="347"/>
      <c r="I10" s="347"/>
      <c r="J10" s="347"/>
      <c r="K10" s="347"/>
      <c r="L10" s="340"/>
      <c r="M10" s="356"/>
    </row>
    <row r="11" spans="1:13" s="267" customFormat="1">
      <c r="A11" s="581">
        <v>2</v>
      </c>
      <c r="B11" s="584" t="s">
        <v>652</v>
      </c>
      <c r="C11" s="283">
        <v>0.27550000000000002</v>
      </c>
      <c r="D11" s="283">
        <v>0.48349999999999999</v>
      </c>
      <c r="E11" s="283">
        <v>0.14080000000000001</v>
      </c>
      <c r="F11" s="283">
        <v>5.9400000000000001E-2</v>
      </c>
      <c r="G11" s="283">
        <v>4.0800000000000003E-2</v>
      </c>
      <c r="H11" s="346"/>
      <c r="I11" s="346"/>
      <c r="J11" s="346"/>
      <c r="K11" s="346"/>
      <c r="L11" s="341">
        <f>SUM(C11:K11)</f>
        <v>1</v>
      </c>
    </row>
    <row r="12" spans="1:13" s="267" customFormat="1">
      <c r="A12" s="581"/>
      <c r="B12" s="585"/>
      <c r="C12" s="284"/>
      <c r="D12" s="284"/>
      <c r="E12" s="284"/>
      <c r="F12" s="284"/>
      <c r="G12" s="284"/>
      <c r="H12" s="347"/>
      <c r="I12" s="347"/>
      <c r="J12" s="347"/>
      <c r="K12" s="347"/>
      <c r="L12" s="340"/>
      <c r="M12" s="356"/>
    </row>
    <row r="13" spans="1:13" s="267" customFormat="1">
      <c r="A13" s="582">
        <v>3</v>
      </c>
      <c r="B13" s="584" t="s">
        <v>106</v>
      </c>
      <c r="C13" s="283">
        <v>0.21829999999999999</v>
      </c>
      <c r="D13" s="283">
        <v>0.43790000000000001</v>
      </c>
      <c r="E13" s="283">
        <v>0.21049999999999999</v>
      </c>
      <c r="F13" s="283">
        <v>5.3499999999999999E-2</v>
      </c>
      <c r="G13" s="283">
        <v>4.1599999999999998E-2</v>
      </c>
      <c r="H13" s="283">
        <v>3.8199999999999998E-2</v>
      </c>
      <c r="I13" s="346"/>
      <c r="J13" s="346"/>
      <c r="K13" s="346"/>
      <c r="L13" s="341">
        <f>SUM(C13:K13)</f>
        <v>1</v>
      </c>
    </row>
    <row r="14" spans="1:13" s="267" customFormat="1">
      <c r="A14" s="583"/>
      <c r="B14" s="585"/>
      <c r="C14" s="284"/>
      <c r="D14" s="284"/>
      <c r="E14" s="284"/>
      <c r="F14" s="284"/>
      <c r="G14" s="284"/>
      <c r="H14" s="284"/>
      <c r="I14" s="347"/>
      <c r="J14" s="347"/>
      <c r="K14" s="347"/>
      <c r="L14" s="340"/>
      <c r="M14" s="356"/>
    </row>
    <row r="15" spans="1:13" s="266" customFormat="1">
      <c r="A15" s="581">
        <v>4</v>
      </c>
      <c r="B15" s="586" t="s">
        <v>107</v>
      </c>
      <c r="C15" s="346"/>
      <c r="D15" s="283">
        <v>0.13819999999999999</v>
      </c>
      <c r="E15" s="283">
        <v>0.4264</v>
      </c>
      <c r="F15" s="283">
        <v>0.2147</v>
      </c>
      <c r="G15" s="283">
        <v>0.13100000000000001</v>
      </c>
      <c r="H15" s="283">
        <v>6.8599999999999994E-2</v>
      </c>
      <c r="I15" s="283">
        <v>2.1100000000000001E-2</v>
      </c>
      <c r="J15" s="346"/>
      <c r="K15" s="346"/>
      <c r="L15" s="341">
        <f>SUM(C15:K15)</f>
        <v>1</v>
      </c>
    </row>
    <row r="16" spans="1:13" s="267" customFormat="1">
      <c r="A16" s="581"/>
      <c r="B16" s="587"/>
      <c r="C16" s="347"/>
      <c r="D16" s="284"/>
      <c r="E16" s="284"/>
      <c r="F16" s="284"/>
      <c r="G16" s="284"/>
      <c r="H16" s="284"/>
      <c r="I16" s="284"/>
      <c r="J16" s="347"/>
      <c r="K16" s="347"/>
      <c r="L16" s="340"/>
      <c r="M16" s="356"/>
    </row>
    <row r="17" spans="1:13" s="267" customFormat="1">
      <c r="A17" s="581">
        <v>5</v>
      </c>
      <c r="B17" s="584" t="s">
        <v>180</v>
      </c>
      <c r="C17" s="346"/>
      <c r="D17" s="283">
        <v>3.2099999999999997E-2</v>
      </c>
      <c r="E17" s="283">
        <v>0.1888</v>
      </c>
      <c r="F17" s="283">
        <v>0.27960000000000002</v>
      </c>
      <c r="G17" s="283">
        <v>0.26790000000000003</v>
      </c>
      <c r="H17" s="283">
        <v>0.104</v>
      </c>
      <c r="I17" s="283">
        <v>9.2600000000000002E-2</v>
      </c>
      <c r="J17" s="283">
        <v>3.5000000000000003E-2</v>
      </c>
      <c r="K17" s="346"/>
      <c r="L17" s="341">
        <f>SUM(C17:K17)</f>
        <v>1</v>
      </c>
    </row>
    <row r="18" spans="1:13" s="267" customFormat="1">
      <c r="A18" s="581"/>
      <c r="B18" s="585"/>
      <c r="C18" s="347"/>
      <c r="D18" s="284"/>
      <c r="E18" s="284"/>
      <c r="F18" s="284"/>
      <c r="G18" s="284"/>
      <c r="H18" s="284"/>
      <c r="I18" s="284"/>
      <c r="J18" s="284"/>
      <c r="K18" s="347"/>
      <c r="L18" s="340"/>
      <c r="M18" s="356"/>
    </row>
    <row r="19" spans="1:13" s="266" customFormat="1">
      <c r="A19" s="581">
        <v>6</v>
      </c>
      <c r="B19" s="586" t="s">
        <v>104</v>
      </c>
      <c r="C19" s="346"/>
      <c r="D19" s="346"/>
      <c r="E19" s="346"/>
      <c r="F19" s="283">
        <v>7.3200000000000001E-2</v>
      </c>
      <c r="G19" s="283">
        <v>0.18990000000000001</v>
      </c>
      <c r="H19" s="283">
        <v>0.26200000000000001</v>
      </c>
      <c r="I19" s="283">
        <v>0.22</v>
      </c>
      <c r="J19" s="283">
        <v>0.14000000000000001</v>
      </c>
      <c r="K19" s="283">
        <v>0.1149</v>
      </c>
      <c r="L19" s="341">
        <f>SUM(C19:K19)</f>
        <v>1</v>
      </c>
    </row>
    <row r="20" spans="1:13" s="267" customFormat="1">
      <c r="A20" s="581"/>
      <c r="B20" s="587"/>
      <c r="C20" s="347"/>
      <c r="D20" s="347"/>
      <c r="E20" s="347"/>
      <c r="F20" s="284"/>
      <c r="G20" s="284"/>
      <c r="H20" s="284"/>
      <c r="I20" s="284"/>
      <c r="J20" s="284"/>
      <c r="K20" s="284"/>
      <c r="L20" s="340"/>
      <c r="M20" s="356"/>
    </row>
    <row r="21" spans="1:13" s="266" customFormat="1">
      <c r="A21" s="581">
        <v>7</v>
      </c>
      <c r="B21" s="584" t="s">
        <v>109</v>
      </c>
      <c r="C21" s="346"/>
      <c r="D21" s="346"/>
      <c r="E21" s="346"/>
      <c r="F21" s="283">
        <v>7.2400000000000006E-2</v>
      </c>
      <c r="G21" s="283">
        <v>0.2545</v>
      </c>
      <c r="H21" s="283">
        <v>0.41570000000000001</v>
      </c>
      <c r="I21" s="283">
        <v>0.16550000000000001</v>
      </c>
      <c r="J21" s="283">
        <v>0.09</v>
      </c>
      <c r="K21" s="283">
        <v>1.9E-3</v>
      </c>
      <c r="L21" s="341">
        <f>SUM(C21:K21)</f>
        <v>1</v>
      </c>
    </row>
    <row r="22" spans="1:13" s="267" customFormat="1">
      <c r="A22" s="581"/>
      <c r="B22" s="585"/>
      <c r="C22" s="347"/>
      <c r="D22" s="347"/>
      <c r="E22" s="347"/>
      <c r="F22" s="284"/>
      <c r="G22" s="284"/>
      <c r="H22" s="284"/>
      <c r="I22" s="284"/>
      <c r="J22" s="284"/>
      <c r="K22" s="284"/>
      <c r="L22" s="340"/>
      <c r="M22" s="356"/>
    </row>
    <row r="23" spans="1:13" s="266" customFormat="1">
      <c r="A23" s="581">
        <v>8</v>
      </c>
      <c r="B23" s="584" t="s">
        <v>6</v>
      </c>
      <c r="C23" s="346"/>
      <c r="D23" s="346"/>
      <c r="E23" s="346"/>
      <c r="F23" s="283">
        <v>5.33E-2</v>
      </c>
      <c r="G23" s="283">
        <v>7.7100000000000002E-2</v>
      </c>
      <c r="H23" s="283">
        <v>0.18629999999999999</v>
      </c>
      <c r="I23" s="283">
        <v>0.31790000000000002</v>
      </c>
      <c r="J23" s="283">
        <v>0.3</v>
      </c>
      <c r="K23" s="283">
        <v>6.54E-2</v>
      </c>
      <c r="L23" s="341">
        <f>SUM(C23:K23)</f>
        <v>1</v>
      </c>
    </row>
    <row r="24" spans="1:13" s="267" customFormat="1">
      <c r="A24" s="581"/>
      <c r="B24" s="585"/>
      <c r="C24" s="347"/>
      <c r="D24" s="347"/>
      <c r="E24" s="347"/>
      <c r="F24" s="284"/>
      <c r="G24" s="284"/>
      <c r="H24" s="284"/>
      <c r="I24" s="284"/>
      <c r="J24" s="284"/>
      <c r="K24" s="284"/>
      <c r="L24" s="340"/>
      <c r="M24" s="356"/>
    </row>
    <row r="25" spans="1:13" s="266" customFormat="1">
      <c r="A25" s="581">
        <v>9</v>
      </c>
      <c r="B25" s="584" t="s">
        <v>653</v>
      </c>
      <c r="C25" s="346"/>
      <c r="D25" s="346"/>
      <c r="E25" s="346"/>
      <c r="F25" s="283">
        <v>7.5600000000000001E-2</v>
      </c>
      <c r="G25" s="283">
        <v>0.12889999999999999</v>
      </c>
      <c r="H25" s="283">
        <v>0.25369999999999998</v>
      </c>
      <c r="I25" s="283">
        <v>0.3125</v>
      </c>
      <c r="J25" s="283">
        <v>0.21</v>
      </c>
      <c r="K25" s="283">
        <v>1.9300000000000001E-2</v>
      </c>
      <c r="L25" s="341">
        <f>SUM(C25:K25)</f>
        <v>0.99999999999999989</v>
      </c>
    </row>
    <row r="26" spans="1:13" s="267" customFormat="1">
      <c r="A26" s="581"/>
      <c r="B26" s="585"/>
      <c r="C26" s="347"/>
      <c r="D26" s="347"/>
      <c r="E26" s="347"/>
      <c r="F26" s="284"/>
      <c r="G26" s="284"/>
      <c r="H26" s="284"/>
      <c r="I26" s="284"/>
      <c r="J26" s="284"/>
      <c r="K26" s="284"/>
      <c r="L26" s="340"/>
      <c r="M26" s="356"/>
    </row>
    <row r="27" spans="1:13" s="266" customFormat="1">
      <c r="A27" s="581">
        <v>10</v>
      </c>
      <c r="B27" s="584" t="s">
        <v>54</v>
      </c>
      <c r="C27" s="346"/>
      <c r="D27" s="283">
        <v>2.7799999999999998E-2</v>
      </c>
      <c r="E27" s="283">
        <v>9.2499999999999999E-2</v>
      </c>
      <c r="F27" s="283">
        <v>0.29809999999999998</v>
      </c>
      <c r="G27" s="283">
        <v>0.33260000000000001</v>
      </c>
      <c r="H27" s="283">
        <v>8.1299999999999997E-2</v>
      </c>
      <c r="I27" s="283">
        <v>6.4299999999999996E-2</v>
      </c>
      <c r="J27" s="283">
        <v>0.05</v>
      </c>
      <c r="K27" s="283">
        <v>5.3400000000000003E-2</v>
      </c>
      <c r="L27" s="341">
        <f>SUM(C27:K27)</f>
        <v>1</v>
      </c>
    </row>
    <row r="28" spans="1:13" s="267" customFormat="1">
      <c r="A28" s="581"/>
      <c r="B28" s="585"/>
      <c r="C28" s="347"/>
      <c r="D28" s="284"/>
      <c r="E28" s="284"/>
      <c r="F28" s="284"/>
      <c r="G28" s="284"/>
      <c r="H28" s="284"/>
      <c r="I28" s="284"/>
      <c r="J28" s="284"/>
      <c r="K28" s="284"/>
      <c r="L28" s="340"/>
      <c r="M28" s="356"/>
    </row>
    <row r="29" spans="1:13" s="266" customFormat="1">
      <c r="A29" s="581">
        <v>11</v>
      </c>
      <c r="B29" s="584" t="s">
        <v>114</v>
      </c>
      <c r="C29" s="346"/>
      <c r="D29" s="346"/>
      <c r="E29" s="346"/>
      <c r="F29" s="283">
        <v>0.26790000000000003</v>
      </c>
      <c r="G29" s="283">
        <v>0.27960000000000002</v>
      </c>
      <c r="H29" s="283">
        <v>0.19209999999999999</v>
      </c>
      <c r="I29" s="283">
        <v>0.1888</v>
      </c>
      <c r="J29" s="283">
        <v>5.79E-2</v>
      </c>
      <c r="K29" s="283">
        <v>1.37E-2</v>
      </c>
      <c r="L29" s="341">
        <f>SUM(C29:K29)</f>
        <v>1</v>
      </c>
    </row>
    <row r="30" spans="1:13" s="267" customFormat="1">
      <c r="A30" s="581"/>
      <c r="B30" s="585"/>
      <c r="C30" s="347"/>
      <c r="D30" s="347"/>
      <c r="E30" s="347"/>
      <c r="F30" s="284"/>
      <c r="G30" s="284"/>
      <c r="H30" s="284"/>
      <c r="I30" s="284"/>
      <c r="J30" s="284"/>
      <c r="K30" s="284"/>
      <c r="L30" s="340"/>
      <c r="M30" s="356"/>
    </row>
    <row r="31" spans="1:13" s="266" customFormat="1">
      <c r="A31" s="581">
        <v>12</v>
      </c>
      <c r="B31" s="584" t="s">
        <v>118</v>
      </c>
      <c r="C31" s="346"/>
      <c r="D31" s="346"/>
      <c r="E31" s="346"/>
      <c r="F31" s="346"/>
      <c r="G31" s="283">
        <v>0.1</v>
      </c>
      <c r="H31" s="283">
        <v>0.4</v>
      </c>
      <c r="I31" s="283">
        <v>0.25</v>
      </c>
      <c r="J31" s="283">
        <v>0.15</v>
      </c>
      <c r="K31" s="283">
        <v>0.1</v>
      </c>
      <c r="L31" s="341">
        <f>SUM(C31:K31)</f>
        <v>1</v>
      </c>
    </row>
    <row r="32" spans="1:13" s="267" customFormat="1">
      <c r="A32" s="581"/>
      <c r="B32" s="585"/>
      <c r="C32" s="347"/>
      <c r="D32" s="347"/>
      <c r="E32" s="347"/>
      <c r="F32" s="347"/>
      <c r="G32" s="284"/>
      <c r="H32" s="284"/>
      <c r="I32" s="284"/>
      <c r="J32" s="284"/>
      <c r="K32" s="284"/>
      <c r="L32" s="340"/>
      <c r="M32" s="356"/>
    </row>
    <row r="33" spans="1:13" s="266" customFormat="1">
      <c r="A33" s="581">
        <v>13</v>
      </c>
      <c r="B33" s="586" t="s">
        <v>7</v>
      </c>
      <c r="C33" s="346"/>
      <c r="D33" s="346"/>
      <c r="E33" s="283">
        <v>8.9999999999999993E-3</v>
      </c>
      <c r="F33" s="283">
        <v>0.155</v>
      </c>
      <c r="G33" s="283">
        <v>0.16969999999999999</v>
      </c>
      <c r="H33" s="283">
        <v>0.18090000000000001</v>
      </c>
      <c r="I33" s="283">
        <v>0.2</v>
      </c>
      <c r="J33" s="283">
        <v>0.18770000000000001</v>
      </c>
      <c r="K33" s="283">
        <v>9.7699999999999995E-2</v>
      </c>
      <c r="L33" s="341">
        <f>SUM(C33:K33)</f>
        <v>0.99999999999999989</v>
      </c>
    </row>
    <row r="34" spans="1:13" s="267" customFormat="1">
      <c r="A34" s="581"/>
      <c r="B34" s="587"/>
      <c r="C34" s="347"/>
      <c r="D34" s="347"/>
      <c r="E34" s="284"/>
      <c r="F34" s="284"/>
      <c r="G34" s="284"/>
      <c r="H34" s="284"/>
      <c r="I34" s="284"/>
      <c r="J34" s="284"/>
      <c r="K34" s="284"/>
      <c r="L34" s="340"/>
      <c r="M34" s="356"/>
    </row>
    <row r="35" spans="1:13" s="266" customFormat="1">
      <c r="A35" s="581">
        <v>14</v>
      </c>
      <c r="B35" s="584" t="s">
        <v>133</v>
      </c>
      <c r="C35" s="346"/>
      <c r="D35" s="346"/>
      <c r="E35" s="346"/>
      <c r="F35" s="346"/>
      <c r="G35" s="346"/>
      <c r="H35" s="283">
        <v>0.12509999999999999</v>
      </c>
      <c r="I35" s="283">
        <v>0.28100000000000003</v>
      </c>
      <c r="J35" s="283">
        <v>0.4</v>
      </c>
      <c r="K35" s="283">
        <v>0.19389999999999999</v>
      </c>
      <c r="L35" s="341">
        <f>SUM(C35:K35)</f>
        <v>1</v>
      </c>
    </row>
    <row r="36" spans="1:13" s="267" customFormat="1">
      <c r="A36" s="581"/>
      <c r="B36" s="585"/>
      <c r="C36" s="347"/>
      <c r="D36" s="347"/>
      <c r="E36" s="347"/>
      <c r="F36" s="347"/>
      <c r="G36" s="347"/>
      <c r="H36" s="284"/>
      <c r="I36" s="284"/>
      <c r="J36" s="284"/>
      <c r="K36" s="284"/>
      <c r="L36" s="340"/>
      <c r="M36" s="356"/>
    </row>
    <row r="37" spans="1:13" s="266" customFormat="1">
      <c r="A37" s="581">
        <v>15</v>
      </c>
      <c r="B37" s="584" t="s">
        <v>67</v>
      </c>
      <c r="C37" s="346"/>
      <c r="D37" s="346"/>
      <c r="E37" s="346"/>
      <c r="F37" s="346"/>
      <c r="G37" s="283">
        <v>3.4099999999999998E-2</v>
      </c>
      <c r="H37" s="283">
        <v>7.2300000000000003E-2</v>
      </c>
      <c r="I37" s="283">
        <v>0.32079999999999997</v>
      </c>
      <c r="J37" s="283">
        <v>0.32279999999999998</v>
      </c>
      <c r="K37" s="283">
        <v>0.25</v>
      </c>
      <c r="L37" s="341">
        <f>SUM(C37:K37)</f>
        <v>1</v>
      </c>
    </row>
    <row r="38" spans="1:13" s="267" customFormat="1">
      <c r="A38" s="581"/>
      <c r="B38" s="585"/>
      <c r="C38" s="347"/>
      <c r="D38" s="347"/>
      <c r="E38" s="347"/>
      <c r="F38" s="347"/>
      <c r="G38" s="284"/>
      <c r="H38" s="284"/>
      <c r="I38" s="284"/>
      <c r="J38" s="284"/>
      <c r="K38" s="284"/>
      <c r="L38" s="340"/>
      <c r="M38" s="356"/>
    </row>
    <row r="39" spans="1:13" s="267" customFormat="1">
      <c r="A39" s="581">
        <v>16</v>
      </c>
      <c r="B39" s="584" t="s">
        <v>120</v>
      </c>
      <c r="C39" s="346"/>
      <c r="D39" s="346"/>
      <c r="E39" s="346"/>
      <c r="F39" s="283">
        <v>2.1399999999999999E-2</v>
      </c>
      <c r="G39" s="283">
        <v>0.35</v>
      </c>
      <c r="H39" s="283">
        <v>0.38059999999999999</v>
      </c>
      <c r="I39" s="283">
        <v>0.14799999999999999</v>
      </c>
      <c r="J39" s="283">
        <v>5.5800000000000002E-2</v>
      </c>
      <c r="K39" s="283">
        <v>4.4200000000000003E-2</v>
      </c>
      <c r="L39" s="341">
        <f>SUM(C39:K39)</f>
        <v>1</v>
      </c>
    </row>
    <row r="40" spans="1:13" s="267" customFormat="1">
      <c r="A40" s="581"/>
      <c r="B40" s="585"/>
      <c r="C40" s="347"/>
      <c r="D40" s="347"/>
      <c r="E40" s="347"/>
      <c r="F40" s="284"/>
      <c r="G40" s="284"/>
      <c r="H40" s="284"/>
      <c r="I40" s="284"/>
      <c r="J40" s="284"/>
      <c r="K40" s="284"/>
      <c r="L40" s="340"/>
      <c r="M40" s="356"/>
    </row>
    <row r="41" spans="1:13" s="266" customFormat="1">
      <c r="A41" s="581">
        <v>17</v>
      </c>
      <c r="B41" s="584" t="s">
        <v>25</v>
      </c>
      <c r="C41" s="346"/>
      <c r="D41" s="346"/>
      <c r="E41" s="346"/>
      <c r="F41" s="346"/>
      <c r="G41" s="346"/>
      <c r="H41" s="346"/>
      <c r="I41" s="346"/>
      <c r="J41" s="346"/>
      <c r="K41" s="283">
        <v>1</v>
      </c>
      <c r="L41" s="341">
        <f>SUM(C41:K41)</f>
        <v>1</v>
      </c>
    </row>
    <row r="42" spans="1:13" s="267" customFormat="1">
      <c r="A42" s="581"/>
      <c r="B42" s="585"/>
      <c r="C42" s="347"/>
      <c r="D42" s="347"/>
      <c r="E42" s="347"/>
      <c r="F42" s="347"/>
      <c r="G42" s="347"/>
      <c r="H42" s="347"/>
      <c r="I42" s="347"/>
      <c r="J42" s="347"/>
      <c r="K42" s="284"/>
      <c r="L42" s="350"/>
      <c r="M42" s="356"/>
    </row>
    <row r="43" spans="1:13">
      <c r="A43" s="588"/>
      <c r="B43" s="590" t="s">
        <v>19</v>
      </c>
      <c r="C43" s="281">
        <v>4.4600000000000001E-2</v>
      </c>
      <c r="D43" s="281">
        <v>9.64E-2</v>
      </c>
      <c r="E43" s="281">
        <v>0.1021</v>
      </c>
      <c r="F43" s="281">
        <v>0.1202</v>
      </c>
      <c r="G43" s="281">
        <v>0.1799</v>
      </c>
      <c r="H43" s="281">
        <v>0.1656</v>
      </c>
      <c r="I43" s="281">
        <v>0.1313</v>
      </c>
      <c r="J43" s="281">
        <v>9.7900000000000001E-2</v>
      </c>
      <c r="K43" s="281">
        <v>6.2E-2</v>
      </c>
      <c r="L43" s="345">
        <f>SUM(C43:K43)</f>
        <v>1</v>
      </c>
      <c r="M43" s="268"/>
    </row>
    <row r="44" spans="1:13">
      <c r="A44" s="589"/>
      <c r="B44" s="590"/>
      <c r="C44" s="282"/>
      <c r="D44" s="282"/>
      <c r="E44" s="282"/>
      <c r="F44" s="282"/>
      <c r="G44" s="282"/>
      <c r="H44" s="282"/>
      <c r="I44" s="282"/>
      <c r="J44" s="282"/>
      <c r="K44" s="282"/>
      <c r="L44" s="344"/>
      <c r="M44" s="276"/>
    </row>
    <row r="46" spans="1:13">
      <c r="B46" s="351" t="s">
        <v>847</v>
      </c>
      <c r="C46" s="278">
        <v>4.4600000000000001E-2</v>
      </c>
      <c r="D46" s="278">
        <v>0.14099999999999999</v>
      </c>
      <c r="E46" s="278">
        <v>0.24310000000000001</v>
      </c>
      <c r="F46" s="278">
        <v>0.36330000000000001</v>
      </c>
      <c r="G46" s="278">
        <v>0.54320000000000002</v>
      </c>
      <c r="H46" s="278">
        <v>0.70879999999999999</v>
      </c>
      <c r="I46" s="278">
        <v>0.84009999999999996</v>
      </c>
      <c r="J46" s="278">
        <v>0.93799999999999994</v>
      </c>
      <c r="K46" s="278">
        <v>1</v>
      </c>
    </row>
    <row r="47" spans="1:13">
      <c r="C47" s="349"/>
      <c r="D47" s="348"/>
    </row>
    <row r="65" spans="2:10">
      <c r="B65" s="352"/>
      <c r="C65" s="353"/>
      <c r="D65" s="354"/>
      <c r="E65" s="354"/>
      <c r="F65" s="354"/>
      <c r="G65" s="354"/>
      <c r="H65" s="354"/>
      <c r="I65" s="354"/>
      <c r="J65" s="354"/>
    </row>
    <row r="66" spans="2:10">
      <c r="B66" s="352"/>
      <c r="C66" s="353"/>
      <c r="D66" s="354"/>
      <c r="E66" s="354"/>
      <c r="F66" s="354"/>
      <c r="G66" s="354"/>
      <c r="H66" s="354"/>
      <c r="I66" s="354"/>
      <c r="J66" s="354"/>
    </row>
    <row r="67" spans="2:10">
      <c r="B67" s="352"/>
      <c r="C67" s="353"/>
      <c r="D67" s="354"/>
      <c r="E67" s="354"/>
      <c r="F67" s="354"/>
      <c r="G67" s="354"/>
      <c r="H67" s="354"/>
      <c r="I67" s="354"/>
      <c r="J67" s="354"/>
    </row>
    <row r="68" spans="2:10">
      <c r="B68" s="352"/>
      <c r="C68" s="353"/>
      <c r="D68" s="354"/>
      <c r="E68" s="354"/>
      <c r="F68" s="354"/>
      <c r="G68" s="354"/>
      <c r="H68" s="354"/>
      <c r="I68" s="354"/>
      <c r="J68" s="354"/>
    </row>
    <row r="69" spans="2:10">
      <c r="B69" s="352"/>
      <c r="C69" s="353"/>
      <c r="D69" s="354"/>
      <c r="E69" s="272"/>
      <c r="F69" s="272"/>
      <c r="G69" s="272"/>
      <c r="H69" s="272"/>
      <c r="I69" s="354"/>
      <c r="J69" s="354"/>
    </row>
    <row r="70" spans="2:10">
      <c r="B70" s="352"/>
      <c r="C70" s="353"/>
      <c r="D70" s="354"/>
      <c r="E70" s="354"/>
      <c r="F70" s="354"/>
      <c r="G70" s="354"/>
      <c r="H70" s="354"/>
      <c r="I70" s="354"/>
      <c r="J70" s="354"/>
    </row>
    <row r="71" spans="2:10">
      <c r="B71" s="352"/>
      <c r="C71" s="353"/>
      <c r="D71" s="354"/>
      <c r="E71" s="354"/>
      <c r="F71" s="354"/>
      <c r="G71" s="354"/>
      <c r="H71" s="354"/>
      <c r="I71" s="354"/>
      <c r="J71" s="354"/>
    </row>
    <row r="72" spans="2:10">
      <c r="B72" s="352"/>
      <c r="C72" s="353"/>
      <c r="D72" s="354"/>
      <c r="E72" s="354"/>
      <c r="F72" s="354"/>
      <c r="G72" s="354"/>
      <c r="H72" s="354"/>
      <c r="I72" s="354"/>
      <c r="J72" s="354"/>
    </row>
    <row r="73" spans="2:10">
      <c r="B73" s="352"/>
      <c r="C73" s="353"/>
      <c r="D73" s="354"/>
      <c r="E73" s="354"/>
      <c r="F73" s="354"/>
      <c r="G73" s="354"/>
      <c r="H73" s="354"/>
      <c r="I73" s="354"/>
      <c r="J73" s="354"/>
    </row>
    <row r="74" spans="2:10" ht="15.75">
      <c r="B74" s="352"/>
      <c r="C74" s="355"/>
      <c r="D74" s="342"/>
      <c r="E74" s="342"/>
      <c r="F74" s="342"/>
      <c r="G74" s="342"/>
      <c r="H74" s="342"/>
      <c r="I74" s="342"/>
      <c r="J74" s="342"/>
    </row>
    <row r="75" spans="2:10" ht="15.75">
      <c r="B75" s="352"/>
      <c r="C75" s="355"/>
      <c r="D75" s="343"/>
      <c r="E75" s="343"/>
      <c r="F75" s="343"/>
      <c r="G75" s="343"/>
      <c r="H75" s="343"/>
      <c r="I75" s="343"/>
      <c r="J75" s="343"/>
    </row>
    <row r="76" spans="2:10">
      <c r="B76" s="352"/>
      <c r="C76" s="353"/>
      <c r="D76" s="354"/>
      <c r="E76" s="354"/>
      <c r="F76" s="354"/>
      <c r="G76" s="354"/>
      <c r="H76" s="354"/>
      <c r="I76" s="354"/>
      <c r="J76" s="354"/>
    </row>
    <row r="77" spans="2:10">
      <c r="B77" s="352"/>
      <c r="C77" s="353"/>
      <c r="D77" s="354"/>
      <c r="E77" s="354"/>
      <c r="F77" s="354"/>
      <c r="G77" s="354"/>
      <c r="H77" s="354"/>
      <c r="I77" s="354"/>
      <c r="J77" s="354"/>
    </row>
    <row r="78" spans="2:10">
      <c r="B78" s="352"/>
      <c r="C78" s="353"/>
      <c r="D78" s="354"/>
      <c r="E78" s="354"/>
      <c r="F78" s="354"/>
      <c r="G78" s="354"/>
      <c r="H78" s="354"/>
      <c r="I78" s="354"/>
      <c r="J78" s="354"/>
    </row>
    <row r="338" spans="1:12" ht="15.75">
      <c r="A338" s="273"/>
      <c r="B338" s="273"/>
    </row>
    <row r="342" spans="1:12" ht="15.75">
      <c r="B342" s="274"/>
    </row>
    <row r="343" spans="1:12">
      <c r="B343" s="275"/>
      <c r="C343" s="276"/>
      <c r="L343" s="277"/>
    </row>
    <row r="344" spans="1:12">
      <c r="E344" s="278"/>
      <c r="F344" s="278"/>
      <c r="G344" s="278"/>
      <c r="H344" s="278"/>
      <c r="L344" s="278"/>
    </row>
    <row r="345" spans="1:12">
      <c r="E345" s="277"/>
      <c r="F345" s="277"/>
      <c r="G345" s="277"/>
      <c r="H345" s="277"/>
      <c r="K345" s="278"/>
      <c r="L345" s="277"/>
    </row>
  </sheetData>
  <mergeCells count="45">
    <mergeCell ref="A43:A44"/>
    <mergeCell ref="B43:B44"/>
    <mergeCell ref="A39:A40"/>
    <mergeCell ref="B39:B40"/>
    <mergeCell ref="B41:B42"/>
    <mergeCell ref="A41:A42"/>
    <mergeCell ref="A33:A34"/>
    <mergeCell ref="A35:A36"/>
    <mergeCell ref="A37:A38"/>
    <mergeCell ref="B33:B34"/>
    <mergeCell ref="B35:B36"/>
    <mergeCell ref="B37:B38"/>
    <mergeCell ref="A27:A28"/>
    <mergeCell ref="A29:A30"/>
    <mergeCell ref="A31:A32"/>
    <mergeCell ref="B27:B28"/>
    <mergeCell ref="B29:B30"/>
    <mergeCell ref="B31:B32"/>
    <mergeCell ref="A21:A22"/>
    <mergeCell ref="A23:A24"/>
    <mergeCell ref="A25:A26"/>
    <mergeCell ref="B21:B22"/>
    <mergeCell ref="B23:B24"/>
    <mergeCell ref="B25:B26"/>
    <mergeCell ref="A15:A16"/>
    <mergeCell ref="A17:A18"/>
    <mergeCell ref="A19:A20"/>
    <mergeCell ref="B15:B16"/>
    <mergeCell ref="B17:B18"/>
    <mergeCell ref="B19:B20"/>
    <mergeCell ref="A9:A10"/>
    <mergeCell ref="A11:A12"/>
    <mergeCell ref="A13:A14"/>
    <mergeCell ref="B9:B10"/>
    <mergeCell ref="B11:B12"/>
    <mergeCell ref="B13:B14"/>
    <mergeCell ref="A7:A8"/>
    <mergeCell ref="B7:B8"/>
    <mergeCell ref="C7:K7"/>
    <mergeCell ref="L7:L8"/>
    <mergeCell ref="A1:L1"/>
    <mergeCell ref="C2:I2"/>
    <mergeCell ref="C3:D3"/>
    <mergeCell ref="C4:D4"/>
    <mergeCell ref="C5:D5"/>
  </mergeCells>
  <conditionalFormatting sqref="D75:J75 L9 L15 L19 L21 L23 L25 L27 L29 L31 L33 L35 L37 L41">
    <cfRule type="cellIs" dxfId="4" priority="8" stopIfTrue="1" operator="notEqual">
      <formula>0</formula>
    </cfRule>
  </conditionalFormatting>
  <conditionalFormatting sqref="L11">
    <cfRule type="cellIs" dxfId="3" priority="5" stopIfTrue="1" operator="notEqual">
      <formula>0</formula>
    </cfRule>
  </conditionalFormatting>
  <conditionalFormatting sqref="L13">
    <cfRule type="cellIs" dxfId="2" priority="4" stopIfTrue="1" operator="notEqual">
      <formula>0</formula>
    </cfRule>
  </conditionalFormatting>
  <conditionalFormatting sqref="L17">
    <cfRule type="cellIs" dxfId="1" priority="3" stopIfTrue="1" operator="notEqual">
      <formula>0</formula>
    </cfRule>
  </conditionalFormatting>
  <conditionalFormatting sqref="L39">
    <cfRule type="cellIs" dxfId="0" priority="2" stopIfTrue="1" operator="notEqual">
      <formula>0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9" orientation="landscape" r:id="rId1"/>
  <headerFooter>
    <oddFooter>&amp;LCRONOGRAMA&amp;CPágina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83"/>
  <sheetViews>
    <sheetView zoomScale="90" zoomScaleNormal="90" workbookViewId="0">
      <pane ySplit="10" topLeftCell="A11" activePane="bottomLeft" state="frozen"/>
      <selection pane="bottomLeft" activeCell="A11" sqref="A11:XFD11"/>
    </sheetView>
  </sheetViews>
  <sheetFormatPr defaultRowHeight="15"/>
  <cols>
    <col min="1" max="1" width="7.140625" style="143" customWidth="1"/>
    <col min="2" max="2" width="11.28515625" style="143" customWidth="1"/>
    <col min="3" max="3" width="64.140625" style="142" customWidth="1"/>
    <col min="4" max="4" width="9.140625" style="146"/>
    <col min="5" max="5" width="10.7109375" style="150" customWidth="1"/>
    <col min="6" max="9" width="15.7109375" style="142" customWidth="1"/>
    <col min="10" max="11" width="13.140625" style="142" customWidth="1"/>
    <col min="12" max="12" width="9.42578125" style="142" bestFit="1" customWidth="1"/>
    <col min="13" max="13" width="9.140625" style="142"/>
    <col min="14" max="14" width="12.5703125" style="142" customWidth="1"/>
    <col min="15" max="15" width="10.85546875" style="142" customWidth="1"/>
    <col min="16" max="18" width="9.140625" style="142"/>
    <col min="19" max="19" width="12.85546875" style="142" customWidth="1"/>
    <col min="20" max="16384" width="9.140625" style="142"/>
  </cols>
  <sheetData>
    <row r="1" spans="1:20" ht="18">
      <c r="A1" s="548" t="s">
        <v>30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</row>
    <row r="2" spans="1:20">
      <c r="D2" s="144"/>
      <c r="E2" s="145"/>
      <c r="F2" s="146"/>
      <c r="G2" s="146"/>
      <c r="H2" s="146"/>
    </row>
    <row r="3" spans="1:20" ht="18">
      <c r="D3" s="98" t="s">
        <v>175</v>
      </c>
      <c r="E3" s="147"/>
      <c r="F3" s="147"/>
      <c r="G3" s="147"/>
      <c r="H3" s="148"/>
      <c r="J3" s="99"/>
      <c r="K3" s="100"/>
    </row>
    <row r="4" spans="1:20">
      <c r="D4" s="101" t="s">
        <v>511</v>
      </c>
      <c r="E4" s="102"/>
      <c r="F4" s="103"/>
      <c r="G4" s="103"/>
      <c r="H4" s="149"/>
      <c r="J4" s="104"/>
      <c r="K4" s="100"/>
    </row>
    <row r="5" spans="1:20">
      <c r="D5" s="549" t="s">
        <v>670</v>
      </c>
      <c r="E5" s="549"/>
      <c r="F5" s="549"/>
      <c r="G5" s="549"/>
      <c r="H5" s="149"/>
      <c r="J5" s="104"/>
      <c r="K5" s="100"/>
    </row>
    <row r="6" spans="1:20">
      <c r="D6" s="105" t="s">
        <v>669</v>
      </c>
      <c r="E6" s="105"/>
      <c r="F6" s="105"/>
      <c r="G6" s="105"/>
      <c r="H6" s="149"/>
      <c r="J6" s="104"/>
      <c r="K6" s="100"/>
    </row>
    <row r="7" spans="1:20">
      <c r="D7" s="549" t="s">
        <v>662</v>
      </c>
      <c r="E7" s="549"/>
      <c r="F7" s="549"/>
      <c r="G7" s="549"/>
      <c r="H7" s="149"/>
      <c r="J7" s="104"/>
      <c r="K7" s="100"/>
    </row>
    <row r="8" spans="1:20">
      <c r="J8" s="100"/>
      <c r="K8" s="100"/>
    </row>
    <row r="9" spans="1:20">
      <c r="A9" s="550" t="s">
        <v>0</v>
      </c>
      <c r="B9" s="550" t="s">
        <v>125</v>
      </c>
      <c r="C9" s="550" t="s">
        <v>1</v>
      </c>
      <c r="D9" s="550" t="s">
        <v>2</v>
      </c>
      <c r="E9" s="552" t="s">
        <v>3</v>
      </c>
      <c r="F9" s="554" t="s">
        <v>22</v>
      </c>
      <c r="G9" s="555"/>
      <c r="H9" s="556" t="s">
        <v>23</v>
      </c>
      <c r="I9" s="557"/>
      <c r="J9" s="106" t="s">
        <v>19</v>
      </c>
      <c r="K9" s="107" t="s">
        <v>668</v>
      </c>
      <c r="L9" s="539"/>
      <c r="M9" s="539"/>
      <c r="N9" s="539"/>
      <c r="O9" s="539"/>
      <c r="P9" s="540"/>
      <c r="Q9" s="540"/>
      <c r="R9" s="540"/>
      <c r="S9" s="540"/>
      <c r="T9" s="540"/>
    </row>
    <row r="10" spans="1:20" ht="14.25">
      <c r="A10" s="551"/>
      <c r="B10" s="551"/>
      <c r="C10" s="551"/>
      <c r="D10" s="551"/>
      <c r="E10" s="553"/>
      <c r="F10" s="108" t="s">
        <v>20</v>
      </c>
      <c r="G10" s="109" t="s">
        <v>21</v>
      </c>
      <c r="H10" s="109" t="s">
        <v>20</v>
      </c>
      <c r="I10" s="109" t="s">
        <v>21</v>
      </c>
      <c r="J10" s="109" t="s">
        <v>667</v>
      </c>
      <c r="K10" s="110">
        <f>E4</f>
        <v>0</v>
      </c>
      <c r="L10" s="111"/>
      <c r="M10" s="112"/>
      <c r="N10" s="112"/>
      <c r="O10" s="112"/>
      <c r="P10" s="111"/>
      <c r="Q10" s="111"/>
      <c r="R10" s="112"/>
      <c r="S10" s="112"/>
      <c r="T10" s="111"/>
    </row>
    <row r="11" spans="1:20" ht="14.25">
      <c r="A11" s="113" t="s">
        <v>4</v>
      </c>
      <c r="B11" s="526" t="s">
        <v>24</v>
      </c>
      <c r="C11" s="527"/>
      <c r="D11" s="527"/>
      <c r="E11" s="527"/>
      <c r="F11" s="527"/>
      <c r="G11" s="527"/>
      <c r="H11" s="527"/>
      <c r="I11" s="527"/>
      <c r="J11" s="527"/>
      <c r="K11" s="528"/>
      <c r="L11" s="114"/>
      <c r="M11" s="114"/>
      <c r="N11" s="114"/>
      <c r="O11" s="114"/>
      <c r="P11" s="114"/>
      <c r="Q11" s="114"/>
      <c r="R11" s="114"/>
      <c r="S11" s="114"/>
      <c r="T11" s="114"/>
    </row>
    <row r="12" spans="1:20" s="155" customFormat="1" ht="14.25">
      <c r="A12" s="125" t="s">
        <v>8</v>
      </c>
      <c r="B12" s="163">
        <v>73672</v>
      </c>
      <c r="C12" s="164" t="s">
        <v>163</v>
      </c>
      <c r="D12" s="165" t="s">
        <v>29</v>
      </c>
      <c r="E12" s="117">
        <v>437.19</v>
      </c>
      <c r="F12" s="117"/>
      <c r="G12" s="117"/>
      <c r="H12" s="117"/>
      <c r="I12" s="117"/>
      <c r="J12" s="117"/>
      <c r="K12" s="117"/>
      <c r="L12" s="114"/>
      <c r="M12" s="114"/>
      <c r="N12" s="114"/>
      <c r="O12" s="114"/>
      <c r="P12" s="114"/>
      <c r="Q12" s="114"/>
      <c r="R12" s="114"/>
      <c r="S12" s="114"/>
      <c r="T12" s="114"/>
    </row>
    <row r="13" spans="1:20" s="155" customFormat="1" ht="24">
      <c r="A13" s="125" t="s">
        <v>9</v>
      </c>
      <c r="B13" s="166" t="s">
        <v>176</v>
      </c>
      <c r="C13" s="167" t="s">
        <v>177</v>
      </c>
      <c r="D13" s="165" t="s">
        <v>29</v>
      </c>
      <c r="E13" s="117">
        <v>370.04</v>
      </c>
      <c r="F13" s="117"/>
      <c r="G13" s="117"/>
      <c r="H13" s="117"/>
      <c r="I13" s="117"/>
      <c r="J13" s="117"/>
      <c r="K13" s="117"/>
      <c r="L13" s="114"/>
      <c r="M13" s="114"/>
      <c r="N13" s="114"/>
      <c r="O13" s="114"/>
      <c r="P13" s="114"/>
      <c r="Q13" s="114"/>
      <c r="R13" s="114"/>
      <c r="S13" s="114"/>
      <c r="T13" s="114"/>
    </row>
    <row r="14" spans="1:20" ht="14.25">
      <c r="A14" s="541" t="s">
        <v>15</v>
      </c>
      <c r="B14" s="541"/>
      <c r="C14" s="542"/>
      <c r="D14" s="542"/>
      <c r="E14" s="542"/>
      <c r="F14" s="542"/>
      <c r="G14" s="542"/>
      <c r="H14" s="542"/>
      <c r="I14" s="542"/>
      <c r="J14" s="115"/>
      <c r="K14" s="116"/>
      <c r="L14" s="114"/>
      <c r="M14" s="114"/>
      <c r="N14" s="114"/>
      <c r="O14" s="114"/>
      <c r="P14" s="114"/>
      <c r="Q14" s="114"/>
      <c r="R14" s="114"/>
      <c r="S14" s="114"/>
      <c r="T14" s="114"/>
    </row>
    <row r="15" spans="1:20" ht="14.25">
      <c r="A15" s="113" t="s">
        <v>5</v>
      </c>
      <c r="B15" s="526" t="s">
        <v>103</v>
      </c>
      <c r="C15" s="527"/>
      <c r="D15" s="527"/>
      <c r="E15" s="527"/>
      <c r="F15" s="527"/>
      <c r="G15" s="527"/>
      <c r="H15" s="527"/>
      <c r="I15" s="527"/>
      <c r="J15" s="527"/>
      <c r="K15" s="528"/>
      <c r="L15" s="114"/>
      <c r="M15" s="114"/>
      <c r="N15" s="114"/>
      <c r="O15" s="114"/>
      <c r="P15" s="114"/>
      <c r="Q15" s="114"/>
      <c r="R15" s="114"/>
      <c r="S15" s="114"/>
      <c r="T15" s="114"/>
    </row>
    <row r="16" spans="1:20" s="155" customFormat="1" ht="14.25">
      <c r="A16" s="168" t="s">
        <v>10</v>
      </c>
      <c r="B16" s="169" t="s">
        <v>493</v>
      </c>
      <c r="C16" s="232" t="s">
        <v>494</v>
      </c>
      <c r="D16" s="165" t="s">
        <v>29</v>
      </c>
      <c r="E16" s="117">
        <f>E12/2</f>
        <v>218.595</v>
      </c>
      <c r="F16" s="117"/>
      <c r="G16" s="117"/>
      <c r="H16" s="117"/>
      <c r="I16" s="117"/>
      <c r="J16" s="117"/>
      <c r="K16" s="117"/>
      <c r="L16" s="114"/>
      <c r="M16" s="114"/>
      <c r="N16" s="114"/>
      <c r="O16" s="114"/>
      <c r="P16" s="114"/>
      <c r="Q16" s="114"/>
      <c r="R16" s="114"/>
      <c r="S16" s="114"/>
      <c r="T16" s="114"/>
    </row>
    <row r="17" spans="1:22" s="155" customFormat="1" ht="24">
      <c r="A17" s="168" t="s">
        <v>11</v>
      </c>
      <c r="B17" s="170">
        <v>72915</v>
      </c>
      <c r="C17" s="232" t="s">
        <v>492</v>
      </c>
      <c r="D17" s="165" t="s">
        <v>47</v>
      </c>
      <c r="E17" s="117">
        <f>(0.6*0.6*0.6*11)+(3*2*1.5)+((3.14*((1.2/2)*(1.2/2)))*5)+5+24.3</f>
        <v>46.328000000000003</v>
      </c>
      <c r="F17" s="117"/>
      <c r="G17" s="117"/>
      <c r="H17" s="117"/>
      <c r="I17" s="117"/>
      <c r="J17" s="117"/>
      <c r="K17" s="117"/>
      <c r="L17" s="114"/>
      <c r="M17" s="114"/>
      <c r="N17" s="114"/>
      <c r="O17" s="114"/>
      <c r="P17" s="114"/>
      <c r="Q17" s="114"/>
      <c r="R17" s="114"/>
      <c r="S17" s="114"/>
      <c r="T17" s="114"/>
    </row>
    <row r="18" spans="1:22" s="155" customFormat="1" ht="14.25">
      <c r="A18" s="168" t="s">
        <v>442</v>
      </c>
      <c r="B18" s="170" t="s">
        <v>826</v>
      </c>
      <c r="C18" s="232" t="s">
        <v>827</v>
      </c>
      <c r="D18" s="165" t="s">
        <v>47</v>
      </c>
      <c r="E18" s="117">
        <v>62.34</v>
      </c>
      <c r="F18" s="117"/>
      <c r="G18" s="117"/>
      <c r="H18" s="117"/>
      <c r="I18" s="117"/>
      <c r="J18" s="117"/>
      <c r="K18" s="117"/>
      <c r="L18" s="114"/>
      <c r="M18" s="114"/>
      <c r="N18" s="114"/>
      <c r="O18" s="114"/>
      <c r="P18" s="114"/>
      <c r="Q18" s="114"/>
      <c r="R18" s="114"/>
      <c r="S18" s="114"/>
      <c r="T18" s="114"/>
    </row>
    <row r="19" spans="1:22" s="155" customFormat="1" ht="14.25">
      <c r="A19" s="168" t="s">
        <v>443</v>
      </c>
      <c r="B19" s="170" t="s">
        <v>828</v>
      </c>
      <c r="C19" s="232" t="s">
        <v>829</v>
      </c>
      <c r="D19" s="165" t="s">
        <v>47</v>
      </c>
      <c r="E19" s="117">
        <v>344.84</v>
      </c>
      <c r="F19" s="117"/>
      <c r="G19" s="117"/>
      <c r="H19" s="117"/>
      <c r="I19" s="117"/>
      <c r="J19" s="117"/>
      <c r="K19" s="117"/>
      <c r="L19" s="114"/>
      <c r="M19" s="114"/>
      <c r="N19" s="114"/>
      <c r="O19" s="114"/>
      <c r="P19" s="114"/>
      <c r="Q19" s="114"/>
      <c r="R19" s="114"/>
      <c r="S19" s="114"/>
      <c r="T19" s="114"/>
    </row>
    <row r="20" spans="1:22" s="155" customFormat="1" ht="14.25">
      <c r="A20" s="168" t="s">
        <v>444</v>
      </c>
      <c r="B20" s="170">
        <v>6430</v>
      </c>
      <c r="C20" s="232" t="s">
        <v>341</v>
      </c>
      <c r="D20" s="165" t="s">
        <v>47</v>
      </c>
      <c r="E20" s="117">
        <v>36.96</v>
      </c>
      <c r="F20" s="117"/>
      <c r="G20" s="117"/>
      <c r="H20" s="117"/>
      <c r="I20" s="117"/>
      <c r="J20" s="117"/>
      <c r="K20" s="117"/>
      <c r="L20" s="114"/>
      <c r="M20" s="114"/>
      <c r="N20" s="114"/>
      <c r="O20" s="114"/>
      <c r="P20" s="114"/>
      <c r="Q20" s="114"/>
      <c r="R20" s="114"/>
      <c r="S20" s="114"/>
      <c r="T20" s="114"/>
    </row>
    <row r="21" spans="1:22">
      <c r="A21" s="543" t="s">
        <v>16</v>
      </c>
      <c r="B21" s="543"/>
      <c r="C21" s="544"/>
      <c r="D21" s="544"/>
      <c r="E21" s="544"/>
      <c r="F21" s="544"/>
      <c r="G21" s="544"/>
      <c r="H21" s="544"/>
      <c r="I21" s="544"/>
      <c r="J21" s="115"/>
      <c r="K21" s="151"/>
      <c r="L21" s="114"/>
      <c r="M21" s="114"/>
      <c r="N21" s="114"/>
      <c r="O21" s="114"/>
      <c r="P21" s="114"/>
      <c r="Q21" s="114"/>
      <c r="R21" s="114"/>
      <c r="S21" s="114"/>
      <c r="T21" s="114"/>
    </row>
    <row r="22" spans="1:22" ht="14.25">
      <c r="A22" s="113" t="s">
        <v>105</v>
      </c>
      <c r="B22" s="526" t="s">
        <v>106</v>
      </c>
      <c r="C22" s="527"/>
      <c r="D22" s="527"/>
      <c r="E22" s="527"/>
      <c r="F22" s="527"/>
      <c r="G22" s="527"/>
      <c r="H22" s="527"/>
      <c r="I22" s="527"/>
      <c r="J22" s="527"/>
      <c r="K22" s="528"/>
      <c r="L22" s="114"/>
      <c r="M22" s="114"/>
      <c r="N22" s="114"/>
      <c r="O22" s="114"/>
      <c r="P22" s="114"/>
      <c r="Q22" s="114"/>
      <c r="R22" s="114"/>
      <c r="S22" s="114"/>
      <c r="T22" s="114"/>
    </row>
    <row r="23" spans="1:22" s="155" customFormat="1" ht="15.75" customHeight="1">
      <c r="A23" s="125" t="s">
        <v>12</v>
      </c>
      <c r="B23" s="125"/>
      <c r="C23" s="234" t="s">
        <v>287</v>
      </c>
      <c r="D23" s="173" t="s">
        <v>29</v>
      </c>
      <c r="E23" s="172">
        <v>155.5</v>
      </c>
      <c r="F23" s="172"/>
      <c r="G23" s="172"/>
      <c r="H23" s="172"/>
      <c r="I23" s="172"/>
      <c r="J23" s="172"/>
      <c r="K23" s="47"/>
      <c r="L23" s="114"/>
      <c r="M23" s="114"/>
      <c r="N23" s="114"/>
      <c r="O23" s="114"/>
      <c r="P23" s="114"/>
      <c r="Q23" s="114"/>
      <c r="R23" s="114"/>
      <c r="S23" s="114"/>
      <c r="T23" s="114"/>
    </row>
    <row r="24" spans="1:22" s="155" customFormat="1" ht="14.25">
      <c r="A24" s="125" t="s">
        <v>13</v>
      </c>
      <c r="B24" s="125" t="s">
        <v>904</v>
      </c>
      <c r="C24" s="234" t="s">
        <v>871</v>
      </c>
      <c r="D24" s="173" t="s">
        <v>47</v>
      </c>
      <c r="E24" s="172">
        <v>9.6</v>
      </c>
      <c r="F24" s="172"/>
      <c r="G24" s="172"/>
      <c r="H24" s="172"/>
      <c r="I24" s="172"/>
      <c r="J24" s="172"/>
      <c r="K24" s="47"/>
      <c r="L24" s="114"/>
      <c r="M24" s="114"/>
      <c r="N24" s="114"/>
      <c r="O24" s="114"/>
      <c r="P24" s="114"/>
      <c r="Q24" s="114"/>
      <c r="R24" s="114"/>
      <c r="S24" s="114"/>
      <c r="T24" s="114"/>
    </row>
    <row r="25" spans="1:22" s="155" customFormat="1" ht="14.25">
      <c r="A25" s="125" t="s">
        <v>285</v>
      </c>
      <c r="B25" s="125" t="s">
        <v>905</v>
      </c>
      <c r="C25" s="234" t="s">
        <v>872</v>
      </c>
      <c r="D25" s="173" t="s">
        <v>47</v>
      </c>
      <c r="E25" s="172">
        <v>9.6</v>
      </c>
      <c r="F25" s="172"/>
      <c r="G25" s="172"/>
      <c r="H25" s="172"/>
      <c r="I25" s="172"/>
      <c r="J25" s="172"/>
      <c r="K25" s="47"/>
      <c r="L25" s="114"/>
      <c r="M25" s="114"/>
      <c r="N25" s="114"/>
      <c r="O25" s="114"/>
      <c r="P25" s="114"/>
      <c r="Q25" s="114"/>
      <c r="R25" s="114"/>
      <c r="S25" s="114"/>
      <c r="T25" s="114"/>
    </row>
    <row r="26" spans="1:22" s="155" customFormat="1" ht="14.25">
      <c r="A26" s="125" t="s">
        <v>286</v>
      </c>
      <c r="B26" s="125"/>
      <c r="C26" s="234" t="s">
        <v>873</v>
      </c>
      <c r="D26" s="173" t="s">
        <v>47</v>
      </c>
      <c r="E26" s="172">
        <v>2.3199999999999998</v>
      </c>
      <c r="F26" s="172"/>
      <c r="G26" s="172"/>
      <c r="H26" s="172"/>
      <c r="I26" s="172"/>
      <c r="J26" s="172"/>
      <c r="K26" s="47"/>
      <c r="L26" s="114"/>
      <c r="M26" s="114"/>
      <c r="N26" s="114"/>
      <c r="O26" s="114"/>
      <c r="P26" s="114"/>
      <c r="Q26" s="114"/>
      <c r="R26" s="114"/>
      <c r="S26" s="114"/>
      <c r="T26" s="114"/>
    </row>
    <row r="27" spans="1:22" s="155" customFormat="1" ht="14.25">
      <c r="A27" s="125" t="s">
        <v>288</v>
      </c>
      <c r="B27" s="125"/>
      <c r="C27" s="234" t="s">
        <v>874</v>
      </c>
      <c r="D27" s="173" t="s">
        <v>47</v>
      </c>
      <c r="E27" s="172">
        <v>23.86</v>
      </c>
      <c r="F27" s="172"/>
      <c r="G27" s="172"/>
      <c r="H27" s="172"/>
      <c r="I27" s="172"/>
      <c r="J27" s="172"/>
      <c r="K27" s="47"/>
      <c r="L27" s="114"/>
      <c r="M27" s="114"/>
      <c r="N27" s="114"/>
      <c r="O27" s="114"/>
      <c r="P27" s="114"/>
      <c r="Q27" s="114"/>
      <c r="R27" s="114"/>
      <c r="S27" s="114"/>
      <c r="T27" s="114"/>
    </row>
    <row r="28" spans="1:22" s="155" customFormat="1" ht="14.25">
      <c r="A28" s="125" t="s">
        <v>450</v>
      </c>
      <c r="B28" s="125" t="s">
        <v>905</v>
      </c>
      <c r="C28" s="234" t="s">
        <v>875</v>
      </c>
      <c r="D28" s="173" t="s">
        <v>47</v>
      </c>
      <c r="E28" s="172">
        <v>23.86</v>
      </c>
      <c r="F28" s="172"/>
      <c r="G28" s="172"/>
      <c r="H28" s="172"/>
      <c r="I28" s="172"/>
      <c r="J28" s="172"/>
      <c r="K28" s="47"/>
      <c r="L28" s="114"/>
      <c r="M28" s="114"/>
      <c r="N28" s="114"/>
      <c r="O28" s="114"/>
      <c r="P28" s="114"/>
      <c r="Q28" s="114"/>
      <c r="R28" s="114"/>
      <c r="S28" s="114"/>
      <c r="T28" s="114"/>
    </row>
    <row r="29" spans="1:22" s="155" customFormat="1" ht="14.25">
      <c r="A29" s="125" t="s">
        <v>451</v>
      </c>
      <c r="B29" s="125"/>
      <c r="C29" s="234" t="s">
        <v>876</v>
      </c>
      <c r="D29" s="173" t="s">
        <v>29</v>
      </c>
      <c r="E29" s="172">
        <v>28.7</v>
      </c>
      <c r="F29" s="172"/>
      <c r="G29" s="172"/>
      <c r="H29" s="172"/>
      <c r="I29" s="172"/>
      <c r="J29" s="172"/>
      <c r="K29" s="47"/>
      <c r="L29" s="114"/>
      <c r="M29" s="114"/>
      <c r="N29" s="114"/>
      <c r="O29" s="114"/>
      <c r="P29" s="114"/>
      <c r="Q29" s="114"/>
      <c r="R29" s="114"/>
      <c r="S29" s="114"/>
      <c r="T29" s="114"/>
    </row>
    <row r="30" spans="1:22" s="155" customFormat="1" ht="24">
      <c r="A30" s="125" t="s">
        <v>452</v>
      </c>
      <c r="B30" s="415" t="s">
        <v>907</v>
      </c>
      <c r="C30" s="416" t="s">
        <v>877</v>
      </c>
      <c r="D30" s="173" t="s">
        <v>890</v>
      </c>
      <c r="E30" s="172">
        <v>327.60000000000002</v>
      </c>
      <c r="F30" s="172"/>
      <c r="G30" s="172"/>
      <c r="H30" s="172"/>
      <c r="I30" s="172"/>
      <c r="J30" s="172"/>
      <c r="K30" s="47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2" ht="14.25">
      <c r="A31" s="511" t="s">
        <v>17</v>
      </c>
      <c r="B31" s="512"/>
      <c r="C31" s="512"/>
      <c r="D31" s="512"/>
      <c r="E31" s="512"/>
      <c r="F31" s="512"/>
      <c r="G31" s="512"/>
      <c r="H31" s="512"/>
      <c r="I31" s="513"/>
      <c r="J31" s="115"/>
      <c r="K31" s="115"/>
      <c r="L31" s="118"/>
      <c r="M31" s="114"/>
      <c r="N31" s="114"/>
      <c r="O31" s="114"/>
      <c r="P31" s="114"/>
      <c r="Q31" s="114"/>
      <c r="R31" s="114"/>
      <c r="S31" s="114"/>
      <c r="T31" s="114"/>
    </row>
    <row r="32" spans="1:22" s="152" customFormat="1" ht="14.25">
      <c r="A32" s="119" t="s">
        <v>33</v>
      </c>
      <c r="B32" s="517" t="s">
        <v>107</v>
      </c>
      <c r="C32" s="518"/>
      <c r="D32" s="518"/>
      <c r="E32" s="518"/>
      <c r="F32" s="518"/>
      <c r="G32" s="518"/>
      <c r="H32" s="518"/>
      <c r="I32" s="518"/>
      <c r="J32" s="518"/>
      <c r="K32" s="518"/>
      <c r="L32" s="120"/>
      <c r="M32" s="121"/>
      <c r="N32" s="121"/>
      <c r="O32" s="121"/>
      <c r="P32" s="121"/>
      <c r="Q32" s="121"/>
      <c r="R32" s="121"/>
      <c r="S32" s="121"/>
      <c r="T32" s="121"/>
      <c r="U32" s="121"/>
      <c r="V32" s="121"/>
    </row>
    <row r="33" spans="1:22" s="412" customFormat="1" ht="14.25">
      <c r="A33" s="414" t="s">
        <v>34</v>
      </c>
      <c r="B33" s="414"/>
      <c r="C33" s="333" t="s">
        <v>844</v>
      </c>
      <c r="D33" s="334" t="s">
        <v>47</v>
      </c>
      <c r="E33" s="417">
        <f>0.97+1.62</f>
        <v>2.59</v>
      </c>
      <c r="F33" s="408"/>
      <c r="G33" s="408"/>
      <c r="H33" s="408"/>
      <c r="I33" s="408"/>
      <c r="J33" s="408"/>
      <c r="K33" s="54"/>
      <c r="L33" s="411"/>
      <c r="M33" s="398"/>
      <c r="N33" s="398"/>
      <c r="O33" s="398"/>
      <c r="P33" s="398"/>
      <c r="Q33" s="398"/>
      <c r="R33" s="398"/>
      <c r="S33" s="398"/>
      <c r="T33" s="398"/>
      <c r="U33" s="398"/>
      <c r="V33" s="398"/>
    </row>
    <row r="34" spans="1:22" s="412" customFormat="1" ht="24">
      <c r="A34" s="414" t="s">
        <v>108</v>
      </c>
      <c r="B34" s="414"/>
      <c r="C34" s="418" t="s">
        <v>878</v>
      </c>
      <c r="D34" s="334" t="s">
        <v>29</v>
      </c>
      <c r="E34" s="417">
        <v>188.5</v>
      </c>
      <c r="F34" s="408"/>
      <c r="G34" s="408"/>
      <c r="H34" s="408"/>
      <c r="I34" s="408"/>
      <c r="J34" s="409"/>
      <c r="K34" s="410"/>
      <c r="L34" s="411"/>
      <c r="M34" s="398"/>
      <c r="N34" s="398"/>
      <c r="O34" s="398"/>
      <c r="P34" s="398"/>
      <c r="Q34" s="398"/>
      <c r="R34" s="398"/>
      <c r="S34" s="398"/>
      <c r="T34" s="398"/>
      <c r="U34" s="398"/>
      <c r="V34" s="398"/>
    </row>
    <row r="35" spans="1:22" s="412" customFormat="1" ht="24">
      <c r="A35" s="414" t="s">
        <v>35</v>
      </c>
      <c r="B35" s="414"/>
      <c r="C35" s="418" t="s">
        <v>879</v>
      </c>
      <c r="D35" s="334" t="s">
        <v>29</v>
      </c>
      <c r="E35" s="417">
        <v>473.5</v>
      </c>
      <c r="F35" s="408"/>
      <c r="G35" s="408"/>
      <c r="H35" s="408"/>
      <c r="I35" s="408"/>
      <c r="J35" s="409"/>
      <c r="K35" s="410"/>
      <c r="L35" s="411"/>
      <c r="M35" s="398"/>
      <c r="N35" s="398"/>
      <c r="O35" s="398"/>
      <c r="P35" s="398"/>
      <c r="Q35" s="398"/>
      <c r="R35" s="398"/>
      <c r="S35" s="398"/>
      <c r="T35" s="398"/>
      <c r="U35" s="398"/>
      <c r="V35" s="398"/>
    </row>
    <row r="36" spans="1:22" s="412" customFormat="1" ht="14.25">
      <c r="A36" s="414" t="s">
        <v>36</v>
      </c>
      <c r="B36" s="125" t="s">
        <v>904</v>
      </c>
      <c r="C36" s="333" t="s">
        <v>880</v>
      </c>
      <c r="D36" s="334" t="s">
        <v>47</v>
      </c>
      <c r="E36" s="417">
        <v>30.8</v>
      </c>
      <c r="F36" s="408"/>
      <c r="G36" s="408"/>
      <c r="H36" s="408"/>
      <c r="I36" s="408"/>
      <c r="J36" s="409"/>
      <c r="K36" s="410"/>
      <c r="L36" s="411"/>
      <c r="M36" s="398"/>
      <c r="N36" s="398"/>
      <c r="O36" s="398"/>
      <c r="P36" s="398"/>
      <c r="Q36" s="398"/>
      <c r="R36" s="398"/>
      <c r="S36" s="398"/>
      <c r="T36" s="398"/>
      <c r="U36" s="398"/>
      <c r="V36" s="398"/>
    </row>
    <row r="37" spans="1:22" s="412" customFormat="1" ht="14.25">
      <c r="A37" s="414" t="s">
        <v>37</v>
      </c>
      <c r="B37" s="414" t="s">
        <v>906</v>
      </c>
      <c r="C37" s="333" t="s">
        <v>881</v>
      </c>
      <c r="D37" s="334" t="s">
        <v>47</v>
      </c>
      <c r="E37" s="417">
        <v>30.8</v>
      </c>
      <c r="F37" s="408"/>
      <c r="G37" s="408"/>
      <c r="H37" s="408"/>
      <c r="I37" s="408"/>
      <c r="J37" s="409"/>
      <c r="K37" s="410"/>
      <c r="L37" s="411"/>
      <c r="M37" s="398"/>
      <c r="N37" s="398"/>
      <c r="O37" s="398"/>
      <c r="P37" s="398"/>
      <c r="Q37" s="398"/>
      <c r="R37" s="398"/>
      <c r="S37" s="398"/>
      <c r="T37" s="398"/>
      <c r="U37" s="398"/>
      <c r="V37" s="398"/>
    </row>
    <row r="38" spans="1:22" s="412" customFormat="1" ht="14.25">
      <c r="A38" s="414" t="s">
        <v>454</v>
      </c>
      <c r="B38" s="125" t="s">
        <v>904</v>
      </c>
      <c r="C38" s="333" t="s">
        <v>882</v>
      </c>
      <c r="D38" s="334" t="s">
        <v>47</v>
      </c>
      <c r="E38" s="417">
        <v>11.6</v>
      </c>
      <c r="F38" s="408"/>
      <c r="G38" s="408"/>
      <c r="H38" s="408"/>
      <c r="I38" s="408"/>
      <c r="J38" s="409"/>
      <c r="K38" s="410"/>
      <c r="L38" s="411"/>
      <c r="M38" s="398"/>
      <c r="N38" s="398"/>
      <c r="O38" s="398"/>
      <c r="P38" s="398"/>
      <c r="Q38" s="398"/>
      <c r="R38" s="398"/>
      <c r="S38" s="398"/>
      <c r="T38" s="398"/>
      <c r="U38" s="398"/>
      <c r="V38" s="398"/>
    </row>
    <row r="39" spans="1:22" s="412" customFormat="1" ht="14.25">
      <c r="A39" s="414" t="s">
        <v>455</v>
      </c>
      <c r="B39" s="414" t="s">
        <v>906</v>
      </c>
      <c r="C39" s="333" t="s">
        <v>883</v>
      </c>
      <c r="D39" s="334" t="s">
        <v>47</v>
      </c>
      <c r="E39" s="417">
        <v>11.6</v>
      </c>
      <c r="F39" s="408"/>
      <c r="G39" s="408"/>
      <c r="H39" s="408"/>
      <c r="I39" s="408"/>
      <c r="J39" s="409"/>
      <c r="K39" s="410"/>
      <c r="L39" s="411"/>
      <c r="M39" s="398"/>
      <c r="N39" s="398"/>
      <c r="O39" s="398"/>
      <c r="P39" s="398"/>
      <c r="Q39" s="398"/>
      <c r="R39" s="398"/>
      <c r="S39" s="398"/>
      <c r="T39" s="398"/>
      <c r="U39" s="398"/>
      <c r="V39" s="398"/>
    </row>
    <row r="40" spans="1:22" s="412" customFormat="1" ht="24">
      <c r="A40" s="414" t="s">
        <v>456</v>
      </c>
      <c r="B40" s="415" t="s">
        <v>907</v>
      </c>
      <c r="C40" s="333" t="s">
        <v>884</v>
      </c>
      <c r="D40" s="334" t="s">
        <v>890</v>
      </c>
      <c r="E40" s="417">
        <v>1198.4000000000001</v>
      </c>
      <c r="F40" s="408"/>
      <c r="G40" s="408"/>
      <c r="H40" s="408"/>
      <c r="I40" s="408"/>
      <c r="J40" s="409"/>
      <c r="K40" s="410"/>
      <c r="L40" s="411"/>
      <c r="M40" s="398"/>
      <c r="N40" s="398"/>
      <c r="O40" s="398"/>
      <c r="P40" s="398"/>
      <c r="Q40" s="398"/>
      <c r="R40" s="398"/>
      <c r="S40" s="398"/>
      <c r="T40" s="398"/>
      <c r="U40" s="398"/>
      <c r="V40" s="398"/>
    </row>
    <row r="41" spans="1:22" s="412" customFormat="1" ht="14.25">
      <c r="A41" s="414" t="s">
        <v>557</v>
      </c>
      <c r="B41" s="125" t="s">
        <v>832</v>
      </c>
      <c r="C41" s="333" t="s">
        <v>885</v>
      </c>
      <c r="D41" s="334" t="s">
        <v>890</v>
      </c>
      <c r="E41" s="417">
        <v>255.3</v>
      </c>
      <c r="F41" s="408"/>
      <c r="G41" s="408"/>
      <c r="H41" s="408"/>
      <c r="I41" s="408"/>
      <c r="J41" s="409"/>
      <c r="K41" s="410"/>
      <c r="L41" s="411"/>
      <c r="M41" s="398"/>
      <c r="N41" s="398"/>
      <c r="O41" s="398"/>
      <c r="P41" s="398"/>
      <c r="Q41" s="398"/>
      <c r="R41" s="398"/>
      <c r="S41" s="398"/>
      <c r="T41" s="398"/>
      <c r="U41" s="398"/>
      <c r="V41" s="398"/>
    </row>
    <row r="42" spans="1:22" s="412" customFormat="1" ht="24">
      <c r="A42" s="414" t="s">
        <v>558</v>
      </c>
      <c r="B42" s="415" t="s">
        <v>907</v>
      </c>
      <c r="C42" s="333" t="s">
        <v>886</v>
      </c>
      <c r="D42" s="334" t="s">
        <v>890</v>
      </c>
      <c r="E42" s="417">
        <v>1513.9</v>
      </c>
      <c r="F42" s="408"/>
      <c r="G42" s="408"/>
      <c r="H42" s="408"/>
      <c r="I42" s="408"/>
      <c r="J42" s="409"/>
      <c r="K42" s="410"/>
      <c r="L42" s="411"/>
      <c r="M42" s="398"/>
      <c r="N42" s="398"/>
      <c r="O42" s="398"/>
      <c r="P42" s="398"/>
      <c r="Q42" s="398"/>
      <c r="R42" s="398"/>
      <c r="S42" s="398"/>
      <c r="T42" s="398"/>
      <c r="U42" s="398"/>
      <c r="V42" s="398"/>
    </row>
    <row r="43" spans="1:22" s="412" customFormat="1" ht="14.25">
      <c r="A43" s="414" t="s">
        <v>893</v>
      </c>
      <c r="B43" s="125" t="s">
        <v>832</v>
      </c>
      <c r="C43" s="333" t="s">
        <v>887</v>
      </c>
      <c r="D43" s="334" t="s">
        <v>890</v>
      </c>
      <c r="E43" s="417">
        <v>533.20000000000005</v>
      </c>
      <c r="F43" s="408"/>
      <c r="G43" s="408"/>
      <c r="H43" s="408"/>
      <c r="I43" s="408"/>
      <c r="J43" s="409"/>
      <c r="K43" s="410"/>
      <c r="L43" s="411"/>
      <c r="M43" s="398"/>
      <c r="N43" s="398"/>
      <c r="O43" s="398"/>
      <c r="P43" s="398"/>
      <c r="Q43" s="398"/>
      <c r="R43" s="398"/>
      <c r="S43" s="398"/>
      <c r="T43" s="398"/>
      <c r="U43" s="398"/>
      <c r="V43" s="398"/>
    </row>
    <row r="44" spans="1:22" s="412" customFormat="1" ht="36">
      <c r="A44" s="414" t="s">
        <v>894</v>
      </c>
      <c r="B44" s="414"/>
      <c r="C44" s="418" t="s">
        <v>926</v>
      </c>
      <c r="D44" s="334" t="s">
        <v>29</v>
      </c>
      <c r="E44" s="417">
        <v>134.85</v>
      </c>
      <c r="F44" s="408"/>
      <c r="G44" s="408"/>
      <c r="H44" s="408"/>
      <c r="I44" s="408"/>
      <c r="J44" s="409"/>
      <c r="K44" s="410"/>
      <c r="L44" s="411"/>
      <c r="M44" s="398"/>
      <c r="N44" s="398"/>
      <c r="O44" s="398"/>
      <c r="P44" s="398"/>
      <c r="Q44" s="398"/>
      <c r="R44" s="398"/>
      <c r="S44" s="398"/>
      <c r="T44" s="398"/>
      <c r="U44" s="398"/>
      <c r="V44" s="398"/>
    </row>
    <row r="45" spans="1:22" s="412" customFormat="1" ht="14.25">
      <c r="A45" s="414" t="s">
        <v>896</v>
      </c>
      <c r="B45" s="414"/>
      <c r="C45" s="333" t="s">
        <v>908</v>
      </c>
      <c r="D45" s="334" t="s">
        <v>27</v>
      </c>
      <c r="E45" s="417">
        <v>1687</v>
      </c>
      <c r="F45" s="408"/>
      <c r="G45" s="408"/>
      <c r="H45" s="408"/>
      <c r="I45" s="408"/>
      <c r="J45" s="409"/>
      <c r="K45" s="410"/>
      <c r="L45" s="411"/>
      <c r="M45" s="398"/>
      <c r="N45" s="398"/>
      <c r="O45" s="398"/>
      <c r="P45" s="398"/>
      <c r="Q45" s="398"/>
      <c r="R45" s="398"/>
      <c r="S45" s="398"/>
      <c r="T45" s="398"/>
      <c r="U45" s="398"/>
      <c r="V45" s="398"/>
    </row>
    <row r="46" spans="1:22" s="412" customFormat="1" ht="14.25">
      <c r="A46" s="414" t="s">
        <v>898</v>
      </c>
      <c r="B46" s="125" t="s">
        <v>904</v>
      </c>
      <c r="C46" s="333" t="s">
        <v>911</v>
      </c>
      <c r="D46" s="334" t="s">
        <v>47</v>
      </c>
      <c r="E46" s="417">
        <v>25.8</v>
      </c>
      <c r="F46" s="408"/>
      <c r="G46" s="408"/>
      <c r="H46" s="408"/>
      <c r="I46" s="408"/>
      <c r="J46" s="409"/>
      <c r="K46" s="410"/>
      <c r="L46" s="411"/>
      <c r="M46" s="398"/>
      <c r="N46" s="398"/>
      <c r="O46" s="398"/>
      <c r="P46" s="398"/>
      <c r="Q46" s="398"/>
      <c r="R46" s="398"/>
      <c r="S46" s="398"/>
      <c r="T46" s="398"/>
      <c r="U46" s="398"/>
      <c r="V46" s="398"/>
    </row>
    <row r="47" spans="1:22" s="412" customFormat="1" ht="14.25">
      <c r="A47" s="414" t="s">
        <v>899</v>
      </c>
      <c r="B47" s="414" t="s">
        <v>906</v>
      </c>
      <c r="C47" s="333" t="s">
        <v>888</v>
      </c>
      <c r="D47" s="334" t="s">
        <v>47</v>
      </c>
      <c r="E47" s="417">
        <v>25.8</v>
      </c>
      <c r="F47" s="408"/>
      <c r="G47" s="408"/>
      <c r="H47" s="408"/>
      <c r="I47" s="408"/>
      <c r="J47" s="409"/>
      <c r="K47" s="410"/>
      <c r="L47" s="411"/>
      <c r="M47" s="398"/>
      <c r="N47" s="398"/>
      <c r="O47" s="398"/>
      <c r="P47" s="398"/>
      <c r="Q47" s="398"/>
      <c r="R47" s="398"/>
      <c r="S47" s="398"/>
      <c r="T47" s="398"/>
      <c r="U47" s="398"/>
      <c r="V47" s="398"/>
    </row>
    <row r="48" spans="1:22" s="152" customFormat="1" ht="14.25">
      <c r="A48" s="537" t="s">
        <v>18</v>
      </c>
      <c r="B48" s="537"/>
      <c r="C48" s="538"/>
      <c r="D48" s="538"/>
      <c r="E48" s="538"/>
      <c r="F48" s="538"/>
      <c r="G48" s="538"/>
      <c r="H48" s="538"/>
      <c r="I48" s="538"/>
      <c r="J48" s="115"/>
      <c r="K48" s="115"/>
      <c r="L48" s="153"/>
      <c r="M48" s="121"/>
      <c r="N48" s="121"/>
      <c r="O48" s="121"/>
      <c r="P48" s="121"/>
      <c r="Q48" s="121"/>
      <c r="R48" s="121"/>
      <c r="S48" s="121"/>
      <c r="T48" s="121"/>
      <c r="U48" s="121"/>
      <c r="V48" s="121"/>
    </row>
    <row r="49" spans="1:22" s="154" customFormat="1" ht="14.25">
      <c r="A49" s="124" t="s">
        <v>38</v>
      </c>
      <c r="B49" s="545" t="s">
        <v>180</v>
      </c>
      <c r="C49" s="546"/>
      <c r="D49" s="546"/>
      <c r="E49" s="546"/>
      <c r="F49" s="546"/>
      <c r="G49" s="546"/>
      <c r="H49" s="546"/>
      <c r="I49" s="546"/>
      <c r="J49" s="546"/>
      <c r="K49" s="547"/>
      <c r="L49" s="120"/>
      <c r="M49" s="121"/>
      <c r="N49" s="121"/>
      <c r="O49" s="121"/>
      <c r="P49" s="121"/>
      <c r="Q49" s="121"/>
      <c r="R49" s="121"/>
      <c r="S49" s="121"/>
      <c r="T49" s="121"/>
      <c r="U49" s="121"/>
      <c r="V49" s="121"/>
    </row>
    <row r="50" spans="1:22" s="155" customFormat="1" ht="24">
      <c r="A50" s="125" t="s">
        <v>39</v>
      </c>
      <c r="B50" s="166" t="s">
        <v>181</v>
      </c>
      <c r="C50" s="167" t="s">
        <v>182</v>
      </c>
      <c r="D50" s="165" t="s">
        <v>29</v>
      </c>
      <c r="E50" s="117">
        <f>(2.85*(2*(3.53+3+3.6)))+(4.5*((3*3.35)+(2*9.5)))+(0.8*(2*17.04))+(1.35*(38.59))+(1.97*29.28)</f>
        <v>325.50810000000001</v>
      </c>
      <c r="F50" s="117"/>
      <c r="G50" s="117"/>
      <c r="H50" s="117"/>
      <c r="I50" s="117"/>
      <c r="J50" s="117"/>
      <c r="K50" s="177"/>
      <c r="L50" s="118"/>
      <c r="M50" s="114"/>
      <c r="N50" s="114"/>
      <c r="O50" s="114"/>
      <c r="P50" s="114"/>
      <c r="Q50" s="114"/>
      <c r="R50" s="114"/>
      <c r="S50" s="114"/>
      <c r="T50" s="114"/>
    </row>
    <row r="51" spans="1:22" s="155" customFormat="1" ht="24">
      <c r="A51" s="125" t="s">
        <v>40</v>
      </c>
      <c r="B51" s="166" t="s">
        <v>183</v>
      </c>
      <c r="C51" s="167" t="s">
        <v>184</v>
      </c>
      <c r="D51" s="165" t="s">
        <v>29</v>
      </c>
      <c r="E51" s="117">
        <f>(2.85*(2*(16.8)))+(3.35*(37.21))+(4.5*(2*8.85))</f>
        <v>300.06349999999998</v>
      </c>
      <c r="F51" s="117"/>
      <c r="G51" s="117"/>
      <c r="H51" s="117"/>
      <c r="I51" s="117"/>
      <c r="J51" s="117"/>
      <c r="K51" s="117"/>
      <c r="L51" s="114"/>
      <c r="M51" s="114"/>
      <c r="N51" s="114"/>
      <c r="O51" s="114"/>
      <c r="P51" s="114"/>
      <c r="Q51" s="114"/>
      <c r="R51" s="114"/>
      <c r="S51" s="114"/>
      <c r="T51" s="114"/>
    </row>
    <row r="52" spans="1:22" s="155" customFormat="1" ht="24">
      <c r="A52" s="125" t="s">
        <v>41</v>
      </c>
      <c r="B52" s="180">
        <v>72131</v>
      </c>
      <c r="C52" s="167" t="s">
        <v>512</v>
      </c>
      <c r="D52" s="165" t="s">
        <v>29</v>
      </c>
      <c r="E52" s="117">
        <f>2*0.9</f>
        <v>1.8</v>
      </c>
      <c r="F52" s="117"/>
      <c r="G52" s="117"/>
      <c r="H52" s="117"/>
      <c r="I52" s="117"/>
      <c r="J52" s="117"/>
      <c r="K52" s="117"/>
      <c r="L52" s="114"/>
      <c r="M52" s="114"/>
      <c r="N52" s="114"/>
      <c r="O52" s="114"/>
      <c r="P52" s="114"/>
      <c r="Q52" s="114"/>
      <c r="R52" s="114"/>
      <c r="S52" s="114"/>
      <c r="T52" s="114"/>
    </row>
    <row r="53" spans="1:22" s="155" customFormat="1" ht="24" customHeight="1">
      <c r="A53" s="125" t="s">
        <v>42</v>
      </c>
      <c r="B53" s="166" t="s">
        <v>185</v>
      </c>
      <c r="C53" s="167" t="s">
        <v>186</v>
      </c>
      <c r="D53" s="165" t="s">
        <v>47</v>
      </c>
      <c r="E53" s="117">
        <f>((2*((4*4.13)+(3*2.1)+(2*3.4)))+(5*1.4)+(6*1.6))*(0.2*0.1)</f>
        <v>1.5168000000000004</v>
      </c>
      <c r="F53" s="117"/>
      <c r="G53" s="117"/>
      <c r="H53" s="117"/>
      <c r="I53" s="117"/>
      <c r="J53" s="117"/>
      <c r="K53" s="117"/>
      <c r="L53" s="114"/>
      <c r="M53" s="114"/>
      <c r="N53" s="114"/>
      <c r="O53" s="114"/>
      <c r="P53" s="114"/>
      <c r="Q53" s="114"/>
      <c r="R53" s="114"/>
      <c r="S53" s="114"/>
      <c r="T53" s="114"/>
    </row>
    <row r="54" spans="1:22" s="157" customFormat="1" ht="24" customHeight="1">
      <c r="A54" s="86" t="s">
        <v>457</v>
      </c>
      <c r="B54" s="328"/>
      <c r="C54" s="89" t="s">
        <v>545</v>
      </c>
      <c r="D54" s="213" t="s">
        <v>29</v>
      </c>
      <c r="E54" s="54">
        <f>9.06*3.35</f>
        <v>30.351000000000003</v>
      </c>
      <c r="F54" s="54"/>
      <c r="G54" s="54"/>
      <c r="H54" s="54"/>
      <c r="I54" s="54"/>
      <c r="J54" s="54"/>
      <c r="K54" s="54"/>
      <c r="L54" s="90"/>
      <c r="M54" s="90"/>
      <c r="N54" s="90"/>
      <c r="O54" s="90"/>
      <c r="P54" s="90"/>
      <c r="Q54" s="90"/>
      <c r="R54" s="90"/>
      <c r="S54" s="90"/>
      <c r="T54" s="90"/>
    </row>
    <row r="55" spans="1:22" s="155" customFormat="1" ht="24">
      <c r="A55" s="125" t="s">
        <v>458</v>
      </c>
      <c r="B55" s="166" t="s">
        <v>187</v>
      </c>
      <c r="C55" s="167" t="s">
        <v>188</v>
      </c>
      <c r="D55" s="165" t="s">
        <v>29</v>
      </c>
      <c r="E55" s="117">
        <f>((3.4+1.8+1.8)*2)*2</f>
        <v>28</v>
      </c>
      <c r="F55" s="117"/>
      <c r="G55" s="117"/>
      <c r="H55" s="117"/>
      <c r="I55" s="117"/>
      <c r="J55" s="117"/>
      <c r="K55" s="177"/>
      <c r="L55" s="118"/>
      <c r="M55" s="114"/>
      <c r="N55" s="114"/>
      <c r="O55" s="114"/>
      <c r="P55" s="114"/>
      <c r="Q55" s="114"/>
      <c r="R55" s="114"/>
      <c r="S55" s="114"/>
      <c r="T55" s="114"/>
    </row>
    <row r="56" spans="1:22" s="152" customFormat="1" ht="14.25">
      <c r="A56" s="537" t="s">
        <v>73</v>
      </c>
      <c r="B56" s="537"/>
      <c r="C56" s="538"/>
      <c r="D56" s="538"/>
      <c r="E56" s="538"/>
      <c r="F56" s="538"/>
      <c r="G56" s="538"/>
      <c r="H56" s="538"/>
      <c r="I56" s="538"/>
      <c r="J56" s="115"/>
      <c r="K56" s="115"/>
      <c r="L56" s="153"/>
      <c r="M56" s="121"/>
      <c r="N56" s="121"/>
      <c r="O56" s="121"/>
      <c r="P56" s="121"/>
      <c r="Q56" s="121"/>
      <c r="R56" s="121"/>
      <c r="S56" s="121"/>
      <c r="T56" s="121"/>
      <c r="U56" s="121"/>
      <c r="V56" s="121"/>
    </row>
    <row r="57" spans="1:22" s="155" customFormat="1" ht="15.75" customHeight="1">
      <c r="A57" s="113" t="s">
        <v>68</v>
      </c>
      <c r="B57" s="526" t="s">
        <v>104</v>
      </c>
      <c r="C57" s="527"/>
      <c r="D57" s="527"/>
      <c r="E57" s="527"/>
      <c r="F57" s="527"/>
      <c r="G57" s="527"/>
      <c r="H57" s="527"/>
      <c r="I57" s="527"/>
      <c r="J57" s="527"/>
      <c r="K57" s="528"/>
      <c r="L57" s="118"/>
      <c r="M57" s="114"/>
      <c r="N57" s="114"/>
      <c r="O57" s="114"/>
      <c r="P57" s="114"/>
      <c r="Q57" s="114"/>
      <c r="R57" s="114"/>
      <c r="S57" s="114"/>
      <c r="T57" s="114"/>
    </row>
    <row r="58" spans="1:22" s="155" customFormat="1" ht="15.75" customHeight="1">
      <c r="A58" s="178" t="s">
        <v>69</v>
      </c>
      <c r="B58" s="179" t="s">
        <v>189</v>
      </c>
      <c r="C58" s="164" t="s">
        <v>190</v>
      </c>
      <c r="D58" s="165" t="s">
        <v>27</v>
      </c>
      <c r="E58" s="54">
        <v>4</v>
      </c>
      <c r="F58" s="54"/>
      <c r="G58" s="54"/>
      <c r="H58" s="54"/>
      <c r="I58" s="54"/>
      <c r="J58" s="54"/>
      <c r="K58" s="117"/>
      <c r="L58" s="114"/>
      <c r="M58" s="114"/>
      <c r="N58" s="114"/>
      <c r="O58" s="114"/>
      <c r="P58" s="114"/>
      <c r="Q58" s="114"/>
      <c r="R58" s="114"/>
      <c r="S58" s="114"/>
      <c r="T58" s="114"/>
    </row>
    <row r="59" spans="1:22" s="155" customFormat="1" ht="15.75" customHeight="1">
      <c r="A59" s="178" t="s">
        <v>70</v>
      </c>
      <c r="B59" s="179" t="s">
        <v>191</v>
      </c>
      <c r="C59" s="164" t="s">
        <v>192</v>
      </c>
      <c r="D59" s="165" t="s">
        <v>29</v>
      </c>
      <c r="E59" s="54">
        <f>(4.5*6.9)+(3.6*2.7*2)+E189</f>
        <v>92.72</v>
      </c>
      <c r="F59" s="54"/>
      <c r="G59" s="54"/>
      <c r="H59" s="54"/>
      <c r="I59" s="54"/>
      <c r="J59" s="54"/>
      <c r="K59" s="117"/>
      <c r="L59" s="114"/>
      <c r="M59" s="114"/>
      <c r="N59" s="114"/>
      <c r="O59" s="114"/>
      <c r="P59" s="114"/>
      <c r="Q59" s="114"/>
      <c r="R59" s="114"/>
      <c r="S59" s="114"/>
      <c r="T59" s="114"/>
    </row>
    <row r="60" spans="1:22" s="155" customFormat="1" ht="15.75" customHeight="1">
      <c r="A60" s="178" t="s">
        <v>71</v>
      </c>
      <c r="B60" s="182" t="s">
        <v>252</v>
      </c>
      <c r="C60" s="164" t="s">
        <v>516</v>
      </c>
      <c r="D60" s="165" t="s">
        <v>29</v>
      </c>
      <c r="E60" s="54">
        <f>(5.92*1)*2</f>
        <v>11.84</v>
      </c>
      <c r="F60" s="54"/>
      <c r="G60" s="54"/>
      <c r="H60" s="54"/>
      <c r="I60" s="54"/>
      <c r="J60" s="54"/>
      <c r="K60" s="117"/>
      <c r="L60" s="114"/>
      <c r="M60" s="114"/>
      <c r="N60" s="114"/>
      <c r="O60" s="114"/>
      <c r="P60" s="114"/>
      <c r="Q60" s="114"/>
      <c r="R60" s="114"/>
      <c r="S60" s="114"/>
      <c r="T60" s="114"/>
    </row>
    <row r="61" spans="1:22" s="155" customFormat="1" ht="24">
      <c r="A61" s="178" t="s">
        <v>72</v>
      </c>
      <c r="B61" s="195" t="s">
        <v>266</v>
      </c>
      <c r="C61" s="167" t="s">
        <v>534</v>
      </c>
      <c r="D61" s="165" t="s">
        <v>27</v>
      </c>
      <c r="E61" s="54">
        <v>1</v>
      </c>
      <c r="F61" s="54"/>
      <c r="G61" s="54"/>
      <c r="H61" s="54"/>
      <c r="I61" s="54"/>
      <c r="J61" s="54"/>
      <c r="K61" s="117"/>
      <c r="L61" s="114"/>
      <c r="M61" s="114"/>
      <c r="N61" s="114"/>
      <c r="O61" s="114"/>
      <c r="P61" s="114"/>
      <c r="Q61" s="114"/>
      <c r="R61" s="114"/>
      <c r="S61" s="114"/>
      <c r="T61" s="114"/>
    </row>
    <row r="62" spans="1:22" s="155" customFormat="1" ht="14.25">
      <c r="A62" s="178" t="s">
        <v>74</v>
      </c>
      <c r="B62" s="195"/>
      <c r="C62" s="167" t="s">
        <v>595</v>
      </c>
      <c r="D62" s="165" t="s">
        <v>27</v>
      </c>
      <c r="E62" s="54">
        <v>4</v>
      </c>
      <c r="F62" s="54"/>
      <c r="G62" s="54"/>
      <c r="H62" s="54"/>
      <c r="I62" s="54"/>
      <c r="J62" s="54"/>
      <c r="K62" s="117"/>
      <c r="L62" s="114"/>
      <c r="M62" s="114"/>
      <c r="N62" s="114"/>
      <c r="O62" s="114"/>
      <c r="P62" s="114"/>
      <c r="Q62" s="114"/>
      <c r="R62" s="114"/>
      <c r="S62" s="114"/>
      <c r="T62" s="114"/>
    </row>
    <row r="63" spans="1:22" s="155" customFormat="1" ht="14.25">
      <c r="A63" s="178" t="s">
        <v>75</v>
      </c>
      <c r="B63" s="195"/>
      <c r="C63" s="167" t="s">
        <v>596</v>
      </c>
      <c r="D63" s="165" t="s">
        <v>27</v>
      </c>
      <c r="E63" s="54">
        <v>2</v>
      </c>
      <c r="F63" s="54"/>
      <c r="G63" s="54"/>
      <c r="H63" s="54"/>
      <c r="I63" s="54"/>
      <c r="J63" s="54"/>
      <c r="K63" s="117"/>
      <c r="L63" s="114"/>
      <c r="M63" s="114"/>
      <c r="N63" s="114"/>
      <c r="O63" s="114"/>
      <c r="P63" s="114"/>
      <c r="Q63" s="114"/>
      <c r="R63" s="114"/>
      <c r="S63" s="114"/>
      <c r="T63" s="114"/>
    </row>
    <row r="64" spans="1:22" s="155" customFormat="1" ht="24">
      <c r="A64" s="178" t="s">
        <v>76</v>
      </c>
      <c r="B64" s="166" t="s">
        <v>193</v>
      </c>
      <c r="C64" s="167" t="s">
        <v>194</v>
      </c>
      <c r="D64" s="165" t="s">
        <v>27</v>
      </c>
      <c r="E64" s="54">
        <v>5</v>
      </c>
      <c r="F64" s="54"/>
      <c r="G64" s="54"/>
      <c r="H64" s="54"/>
      <c r="I64" s="54"/>
      <c r="J64" s="54"/>
      <c r="K64" s="117"/>
      <c r="L64" s="114"/>
      <c r="M64" s="114"/>
      <c r="N64" s="114"/>
      <c r="O64" s="114"/>
      <c r="P64" s="114"/>
      <c r="Q64" s="114"/>
      <c r="R64" s="114"/>
      <c r="S64" s="114"/>
      <c r="T64" s="114"/>
    </row>
    <row r="65" spans="1:22" s="155" customFormat="1" ht="24">
      <c r="A65" s="178" t="s">
        <v>77</v>
      </c>
      <c r="B65" s="166" t="s">
        <v>264</v>
      </c>
      <c r="C65" s="167" t="s">
        <v>495</v>
      </c>
      <c r="D65" s="165" t="s">
        <v>27</v>
      </c>
      <c r="E65" s="54">
        <v>2</v>
      </c>
      <c r="F65" s="54"/>
      <c r="G65" s="54"/>
      <c r="H65" s="54"/>
      <c r="I65" s="54"/>
      <c r="J65" s="54"/>
      <c r="K65" s="117"/>
      <c r="L65" s="114"/>
      <c r="M65" s="114"/>
      <c r="N65" s="114"/>
      <c r="O65" s="114"/>
      <c r="P65" s="114"/>
      <c r="Q65" s="114"/>
      <c r="R65" s="114"/>
      <c r="S65" s="114"/>
      <c r="T65" s="114"/>
    </row>
    <row r="66" spans="1:22" s="155" customFormat="1" ht="24">
      <c r="A66" s="178" t="s">
        <v>78</v>
      </c>
      <c r="B66" s="166" t="s">
        <v>264</v>
      </c>
      <c r="C66" s="167" t="s">
        <v>496</v>
      </c>
      <c r="D66" s="165" t="s">
        <v>27</v>
      </c>
      <c r="E66" s="54">
        <v>2</v>
      </c>
      <c r="F66" s="54"/>
      <c r="G66" s="54"/>
      <c r="H66" s="54"/>
      <c r="I66" s="54"/>
      <c r="J66" s="54"/>
      <c r="K66" s="117"/>
      <c r="L66" s="114"/>
      <c r="M66" s="114"/>
      <c r="N66" s="114"/>
      <c r="O66" s="114"/>
      <c r="P66" s="114"/>
      <c r="Q66" s="114"/>
      <c r="R66" s="114"/>
      <c r="S66" s="114"/>
      <c r="T66" s="114"/>
    </row>
    <row r="67" spans="1:22" s="155" customFormat="1" ht="24">
      <c r="A67" s="178" t="s">
        <v>79</v>
      </c>
      <c r="B67" s="166" t="s">
        <v>195</v>
      </c>
      <c r="C67" s="167" t="s">
        <v>196</v>
      </c>
      <c r="D67" s="165" t="s">
        <v>27</v>
      </c>
      <c r="E67" s="54">
        <v>1</v>
      </c>
      <c r="F67" s="54"/>
      <c r="G67" s="54"/>
      <c r="H67" s="54"/>
      <c r="I67" s="54"/>
      <c r="J67" s="54"/>
      <c r="K67" s="117"/>
      <c r="L67" s="114"/>
      <c r="M67" s="114"/>
      <c r="N67" s="114"/>
      <c r="O67" s="114"/>
      <c r="P67" s="114"/>
      <c r="Q67" s="114"/>
      <c r="R67" s="114"/>
      <c r="S67" s="114"/>
      <c r="T67" s="114"/>
    </row>
    <row r="68" spans="1:22" s="155" customFormat="1" ht="24">
      <c r="A68" s="178" t="s">
        <v>80</v>
      </c>
      <c r="B68" s="166" t="s">
        <v>197</v>
      </c>
      <c r="C68" s="167" t="s">
        <v>198</v>
      </c>
      <c r="D68" s="165" t="s">
        <v>27</v>
      </c>
      <c r="E68" s="54">
        <v>6</v>
      </c>
      <c r="F68" s="54"/>
      <c r="G68" s="54"/>
      <c r="H68" s="54"/>
      <c r="I68" s="54"/>
      <c r="J68" s="54"/>
      <c r="K68" s="117"/>
      <c r="L68" s="114"/>
      <c r="M68" s="114"/>
      <c r="N68" s="114"/>
      <c r="O68" s="114"/>
      <c r="P68" s="114"/>
      <c r="Q68" s="114"/>
      <c r="R68" s="114"/>
      <c r="S68" s="114"/>
      <c r="T68" s="114"/>
    </row>
    <row r="69" spans="1:22" s="155" customFormat="1" ht="24">
      <c r="A69" s="178" t="s">
        <v>81</v>
      </c>
      <c r="B69" s="195" t="s">
        <v>244</v>
      </c>
      <c r="C69" s="58" t="s">
        <v>245</v>
      </c>
      <c r="D69" s="50" t="s">
        <v>27</v>
      </c>
      <c r="E69" s="54">
        <v>1</v>
      </c>
      <c r="F69" s="54"/>
      <c r="G69" s="54"/>
      <c r="H69" s="54"/>
      <c r="I69" s="54"/>
      <c r="J69" s="54"/>
      <c r="K69" s="117"/>
      <c r="L69" s="114"/>
      <c r="M69" s="114"/>
      <c r="N69" s="114"/>
      <c r="O69" s="114"/>
      <c r="P69" s="114"/>
      <c r="Q69" s="114"/>
      <c r="R69" s="114"/>
      <c r="S69" s="114"/>
      <c r="T69" s="114"/>
    </row>
    <row r="70" spans="1:22" s="155" customFormat="1" ht="24">
      <c r="A70" s="178" t="s">
        <v>251</v>
      </c>
      <c r="B70" s="195" t="s">
        <v>266</v>
      </c>
      <c r="C70" s="58" t="s">
        <v>497</v>
      </c>
      <c r="D70" s="50" t="s">
        <v>27</v>
      </c>
      <c r="E70" s="54">
        <v>1</v>
      </c>
      <c r="F70" s="54"/>
      <c r="G70" s="54"/>
      <c r="H70" s="54"/>
      <c r="I70" s="54"/>
      <c r="J70" s="54"/>
      <c r="K70" s="117"/>
      <c r="L70" s="114"/>
      <c r="M70" s="114"/>
      <c r="N70" s="114"/>
      <c r="O70" s="114"/>
      <c r="P70" s="114"/>
      <c r="Q70" s="114"/>
      <c r="R70" s="114"/>
      <c r="S70" s="114"/>
      <c r="T70" s="114"/>
    </row>
    <row r="71" spans="1:22" s="155" customFormat="1" ht="14.25">
      <c r="A71" s="178" t="s">
        <v>407</v>
      </c>
      <c r="B71" s="180" t="s">
        <v>247</v>
      </c>
      <c r="C71" s="167" t="s">
        <v>498</v>
      </c>
      <c r="D71" s="165" t="s">
        <v>27</v>
      </c>
      <c r="E71" s="54">
        <v>4</v>
      </c>
      <c r="F71" s="54"/>
      <c r="G71" s="54"/>
      <c r="H71" s="54"/>
      <c r="I71" s="54"/>
      <c r="J71" s="54"/>
      <c r="K71" s="117"/>
      <c r="L71" s="114"/>
      <c r="M71" s="114"/>
      <c r="N71" s="114"/>
      <c r="O71" s="114"/>
      <c r="P71" s="114"/>
      <c r="Q71" s="114"/>
      <c r="R71" s="114"/>
      <c r="S71" s="114"/>
      <c r="T71" s="114"/>
    </row>
    <row r="72" spans="1:22" s="155" customFormat="1" ht="14.25">
      <c r="A72" s="178" t="s">
        <v>514</v>
      </c>
      <c r="B72" s="180" t="s">
        <v>499</v>
      </c>
      <c r="C72" s="167" t="s">
        <v>500</v>
      </c>
      <c r="D72" s="165" t="s">
        <v>27</v>
      </c>
      <c r="E72" s="117">
        <v>1</v>
      </c>
      <c r="F72" s="54"/>
      <c r="G72" s="54"/>
      <c r="H72" s="54"/>
      <c r="I72" s="54"/>
      <c r="J72" s="54"/>
      <c r="K72" s="117"/>
      <c r="L72" s="114"/>
      <c r="M72" s="114"/>
      <c r="N72" s="114"/>
      <c r="O72" s="114"/>
      <c r="P72" s="114"/>
      <c r="Q72" s="114"/>
      <c r="R72" s="114"/>
      <c r="S72" s="114"/>
      <c r="T72" s="114"/>
    </row>
    <row r="73" spans="1:22" s="155" customFormat="1" ht="24">
      <c r="A73" s="178" t="s">
        <v>521</v>
      </c>
      <c r="B73" s="166" t="s">
        <v>199</v>
      </c>
      <c r="C73" s="167" t="s">
        <v>501</v>
      </c>
      <c r="D73" s="165" t="s">
        <v>27</v>
      </c>
      <c r="E73" s="117">
        <v>2</v>
      </c>
      <c r="F73" s="54"/>
      <c r="G73" s="54"/>
      <c r="H73" s="54"/>
      <c r="I73" s="54"/>
      <c r="J73" s="54"/>
      <c r="K73" s="117"/>
      <c r="L73" s="114"/>
      <c r="M73" s="114"/>
      <c r="N73" s="114"/>
      <c r="O73" s="114"/>
      <c r="P73" s="114"/>
      <c r="Q73" s="114"/>
      <c r="R73" s="114"/>
      <c r="S73" s="114"/>
      <c r="T73" s="114"/>
    </row>
    <row r="74" spans="1:22" s="155" customFormat="1" ht="24">
      <c r="A74" s="178" t="s">
        <v>522</v>
      </c>
      <c r="B74" s="166" t="s">
        <v>201</v>
      </c>
      <c r="C74" s="181" t="s">
        <v>202</v>
      </c>
      <c r="D74" s="165" t="s">
        <v>27</v>
      </c>
      <c r="E74" s="117">
        <v>2</v>
      </c>
      <c r="F74" s="54"/>
      <c r="G74" s="54"/>
      <c r="H74" s="54"/>
      <c r="I74" s="54"/>
      <c r="J74" s="54"/>
      <c r="K74" s="117"/>
      <c r="L74" s="114"/>
      <c r="M74" s="114"/>
      <c r="N74" s="114"/>
      <c r="O74" s="114"/>
      <c r="P74" s="114"/>
      <c r="Q74" s="114"/>
      <c r="R74" s="114"/>
      <c r="S74" s="114"/>
      <c r="T74" s="114"/>
    </row>
    <row r="75" spans="1:22" s="155" customFormat="1" ht="15.75" customHeight="1">
      <c r="A75" s="511" t="s">
        <v>43</v>
      </c>
      <c r="B75" s="512"/>
      <c r="C75" s="512"/>
      <c r="D75" s="512"/>
      <c r="E75" s="512"/>
      <c r="F75" s="512"/>
      <c r="G75" s="512"/>
      <c r="H75" s="512"/>
      <c r="I75" s="513"/>
      <c r="J75" s="156"/>
      <c r="K75" s="156"/>
      <c r="L75" s="118"/>
      <c r="M75" s="114"/>
      <c r="N75" s="114"/>
      <c r="O75" s="114"/>
      <c r="P75" s="114"/>
      <c r="Q75" s="114"/>
      <c r="R75" s="114"/>
      <c r="S75" s="114"/>
      <c r="T75" s="114"/>
    </row>
    <row r="76" spans="1:22" s="152" customFormat="1" ht="14.25">
      <c r="A76" s="119" t="s">
        <v>44</v>
      </c>
      <c r="B76" s="532" t="s">
        <v>109</v>
      </c>
      <c r="C76" s="533"/>
      <c r="D76" s="533"/>
      <c r="E76" s="533"/>
      <c r="F76" s="533"/>
      <c r="G76" s="533"/>
      <c r="H76" s="533"/>
      <c r="I76" s="533"/>
      <c r="J76" s="533"/>
      <c r="K76" s="533"/>
      <c r="L76" s="120"/>
      <c r="M76" s="121"/>
      <c r="N76" s="121"/>
      <c r="O76" s="121"/>
      <c r="P76" s="121"/>
      <c r="Q76" s="121"/>
      <c r="R76" s="121"/>
      <c r="S76" s="121"/>
      <c r="T76" s="121"/>
      <c r="U76" s="121"/>
      <c r="V76" s="121"/>
    </row>
    <row r="77" spans="1:22" s="154" customFormat="1" ht="24">
      <c r="A77" s="124" t="s">
        <v>82</v>
      </c>
      <c r="B77" s="180" t="s">
        <v>203</v>
      </c>
      <c r="C77" s="181" t="s">
        <v>671</v>
      </c>
      <c r="D77" s="182" t="s">
        <v>29</v>
      </c>
      <c r="E77" s="183">
        <v>323.70999999999998</v>
      </c>
      <c r="F77" s="117"/>
      <c r="G77" s="117"/>
      <c r="H77" s="117"/>
      <c r="I77" s="117"/>
      <c r="J77" s="177"/>
      <c r="K77" s="117"/>
      <c r="L77" s="120"/>
      <c r="M77" s="121"/>
      <c r="N77" s="121"/>
      <c r="O77" s="121"/>
      <c r="P77" s="121"/>
      <c r="Q77" s="121"/>
      <c r="R77" s="121"/>
      <c r="S77" s="121"/>
      <c r="T77" s="121"/>
      <c r="U77" s="121"/>
      <c r="V77" s="121"/>
    </row>
    <row r="78" spans="1:22" s="154" customFormat="1" ht="24">
      <c r="A78" s="124" t="s">
        <v>86</v>
      </c>
      <c r="B78" s="180" t="s">
        <v>205</v>
      </c>
      <c r="C78" s="181" t="s">
        <v>206</v>
      </c>
      <c r="D78" s="182" t="s">
        <v>29</v>
      </c>
      <c r="E78" s="117">
        <f>323.71*1.005</f>
        <v>325.32854999999995</v>
      </c>
      <c r="F78" s="117"/>
      <c r="G78" s="117"/>
      <c r="H78" s="117"/>
      <c r="I78" s="117"/>
      <c r="J78" s="177"/>
      <c r="K78" s="117"/>
      <c r="L78" s="120"/>
      <c r="M78" s="121"/>
      <c r="N78" s="121"/>
      <c r="O78" s="121"/>
      <c r="P78" s="121"/>
      <c r="Q78" s="121"/>
      <c r="R78" s="121"/>
      <c r="S78" s="121"/>
      <c r="T78" s="121"/>
      <c r="U78" s="121"/>
      <c r="V78" s="121"/>
    </row>
    <row r="79" spans="1:22" s="154" customFormat="1" ht="14.25">
      <c r="A79" s="124" t="s">
        <v>110</v>
      </c>
      <c r="B79" s="180">
        <v>72104</v>
      </c>
      <c r="C79" s="181" t="s">
        <v>520</v>
      </c>
      <c r="D79" s="182" t="s">
        <v>28</v>
      </c>
      <c r="E79" s="117">
        <f>((17.19+0.67+11.56+2.45)*2)+29.29+9.84</f>
        <v>102.87</v>
      </c>
      <c r="F79" s="117"/>
      <c r="G79" s="117"/>
      <c r="H79" s="117"/>
      <c r="I79" s="117"/>
      <c r="J79" s="177"/>
      <c r="K79" s="117"/>
      <c r="L79" s="120"/>
      <c r="M79" s="121"/>
      <c r="N79" s="121"/>
      <c r="O79" s="121"/>
      <c r="P79" s="121"/>
      <c r="Q79" s="121"/>
      <c r="R79" s="121"/>
      <c r="S79" s="121"/>
      <c r="T79" s="121"/>
      <c r="U79" s="121"/>
      <c r="V79" s="121"/>
    </row>
    <row r="80" spans="1:22" s="154" customFormat="1" ht="14.25">
      <c r="A80" s="124" t="s">
        <v>111</v>
      </c>
      <c r="B80" s="180">
        <v>72106</v>
      </c>
      <c r="C80" s="76" t="s">
        <v>207</v>
      </c>
      <c r="D80" s="182" t="s">
        <v>28</v>
      </c>
      <c r="E80" s="117">
        <f>(7.57+7.57+7.57+7.57+10.42+10.42+7.26+7.26+21.14)*1.005</f>
        <v>87.213899999999995</v>
      </c>
      <c r="F80" s="117"/>
      <c r="G80" s="117"/>
      <c r="H80" s="117"/>
      <c r="I80" s="117"/>
      <c r="J80" s="177"/>
      <c r="K80" s="117"/>
      <c r="L80" s="120"/>
      <c r="M80" s="121"/>
      <c r="N80" s="121"/>
      <c r="O80" s="121"/>
      <c r="P80" s="121"/>
      <c r="Q80" s="121"/>
      <c r="R80" s="121"/>
      <c r="S80" s="121"/>
      <c r="T80" s="121"/>
      <c r="U80" s="121"/>
      <c r="V80" s="121"/>
    </row>
    <row r="81" spans="1:22" s="154" customFormat="1" ht="14.25">
      <c r="A81" s="124" t="s">
        <v>463</v>
      </c>
      <c r="B81" s="180">
        <v>72104</v>
      </c>
      <c r="C81" s="76" t="s">
        <v>208</v>
      </c>
      <c r="D81" s="182" t="s">
        <v>28</v>
      </c>
      <c r="E81" s="183">
        <f>9.27+9.27+10.73+9.54+9.54</f>
        <v>48.35</v>
      </c>
      <c r="F81" s="117"/>
      <c r="G81" s="117"/>
      <c r="H81" s="117"/>
      <c r="I81" s="117"/>
      <c r="J81" s="177"/>
      <c r="K81" s="117"/>
      <c r="L81" s="120"/>
      <c r="M81" s="121"/>
      <c r="N81" s="121"/>
      <c r="O81" s="121"/>
      <c r="P81" s="121"/>
      <c r="Q81" s="121"/>
      <c r="R81" s="121"/>
      <c r="S81" s="121"/>
      <c r="T81" s="121"/>
      <c r="U81" s="121"/>
      <c r="V81" s="121"/>
    </row>
    <row r="82" spans="1:22" s="152" customFormat="1">
      <c r="A82" s="514" t="s">
        <v>45</v>
      </c>
      <c r="B82" s="515"/>
      <c r="C82" s="515"/>
      <c r="D82" s="515"/>
      <c r="E82" s="515"/>
      <c r="F82" s="515"/>
      <c r="G82" s="515"/>
      <c r="H82" s="515"/>
      <c r="I82" s="516"/>
      <c r="J82" s="156"/>
      <c r="K82" s="156"/>
      <c r="L82" s="153"/>
      <c r="M82" s="121"/>
      <c r="N82" s="121"/>
      <c r="O82" s="121"/>
      <c r="P82" s="121"/>
      <c r="Q82" s="121"/>
      <c r="R82" s="121"/>
      <c r="S82" s="121"/>
      <c r="T82" s="121"/>
      <c r="U82" s="121"/>
      <c r="V82" s="121"/>
    </row>
    <row r="83" spans="1:22" s="155" customFormat="1" ht="14.25">
      <c r="A83" s="125" t="s">
        <v>83</v>
      </c>
      <c r="B83" s="534" t="s">
        <v>6</v>
      </c>
      <c r="C83" s="535"/>
      <c r="D83" s="535"/>
      <c r="E83" s="535"/>
      <c r="F83" s="535"/>
      <c r="G83" s="535"/>
      <c r="H83" s="535"/>
      <c r="I83" s="535"/>
      <c r="J83" s="535"/>
      <c r="K83" s="536"/>
      <c r="L83" s="118"/>
      <c r="M83" s="114"/>
      <c r="N83" s="360"/>
      <c r="O83" s="361"/>
      <c r="P83" s="114"/>
      <c r="Q83" s="114"/>
      <c r="R83" s="114"/>
      <c r="S83" s="114"/>
      <c r="T83" s="114"/>
    </row>
    <row r="84" spans="1:22" s="157" customFormat="1" ht="14.25">
      <c r="A84" s="86" t="s">
        <v>343</v>
      </c>
      <c r="B84" s="358" t="s">
        <v>850</v>
      </c>
      <c r="C84" s="89" t="s">
        <v>31</v>
      </c>
      <c r="D84" s="87" t="s">
        <v>28</v>
      </c>
      <c r="E84" s="88">
        <v>1169.45</v>
      </c>
      <c r="F84" s="89"/>
      <c r="G84" s="54"/>
      <c r="H84" s="89"/>
      <c r="I84" s="54"/>
      <c r="J84" s="54"/>
      <c r="K84" s="47"/>
      <c r="L84" s="90"/>
      <c r="M84" s="90"/>
      <c r="N84" s="360"/>
      <c r="O84" s="361"/>
      <c r="P84" s="90"/>
      <c r="Q84" s="90"/>
      <c r="R84" s="90"/>
      <c r="S84" s="90"/>
      <c r="T84" s="90"/>
    </row>
    <row r="85" spans="1:22" s="157" customFormat="1" ht="14.25">
      <c r="A85" s="86" t="s">
        <v>344</v>
      </c>
      <c r="B85" s="358" t="s">
        <v>851</v>
      </c>
      <c r="C85" s="58" t="s">
        <v>49</v>
      </c>
      <c r="D85" s="56" t="s">
        <v>28</v>
      </c>
      <c r="E85" s="57">
        <v>320.49</v>
      </c>
      <c r="F85" s="58"/>
      <c r="G85" s="47"/>
      <c r="H85" s="58"/>
      <c r="I85" s="47"/>
      <c r="J85" s="47"/>
      <c r="K85" s="47"/>
      <c r="L85" s="90"/>
      <c r="M85" s="90"/>
      <c r="N85" s="360"/>
      <c r="O85" s="361"/>
      <c r="P85" s="90"/>
      <c r="Q85" s="90"/>
      <c r="R85" s="90"/>
      <c r="S85" s="90"/>
      <c r="T85" s="90"/>
    </row>
    <row r="86" spans="1:22" s="157" customFormat="1" ht="14.25">
      <c r="A86" s="86" t="s">
        <v>345</v>
      </c>
      <c r="B86" s="358" t="s">
        <v>849</v>
      </c>
      <c r="C86" s="58" t="s">
        <v>87</v>
      </c>
      <c r="D86" s="56" t="s">
        <v>28</v>
      </c>
      <c r="E86" s="57">
        <v>47.15</v>
      </c>
      <c r="F86" s="58"/>
      <c r="G86" s="47"/>
      <c r="H86" s="58"/>
      <c r="I86" s="47"/>
      <c r="J86" s="47"/>
      <c r="K86" s="47"/>
      <c r="L86" s="90"/>
      <c r="M86" s="90"/>
      <c r="N86" s="90"/>
      <c r="O86" s="90"/>
      <c r="P86" s="90"/>
      <c r="Q86" s="90"/>
      <c r="R86" s="90"/>
      <c r="S86" s="90"/>
      <c r="T86" s="90"/>
    </row>
    <row r="87" spans="1:22" s="157" customFormat="1" ht="14.25">
      <c r="A87" s="86" t="s">
        <v>346</v>
      </c>
      <c r="B87" s="137"/>
      <c r="C87" s="58" t="s">
        <v>48</v>
      </c>
      <c r="D87" s="50" t="s">
        <v>27</v>
      </c>
      <c r="E87" s="47">
        <v>55</v>
      </c>
      <c r="F87" s="47"/>
      <c r="G87" s="47"/>
      <c r="H87" s="47"/>
      <c r="I87" s="47"/>
      <c r="J87" s="47"/>
      <c r="K87" s="47"/>
      <c r="L87" s="90"/>
      <c r="M87" s="90"/>
      <c r="N87" s="90"/>
      <c r="O87" s="90"/>
      <c r="P87" s="90"/>
      <c r="Q87" s="90"/>
      <c r="R87" s="90"/>
      <c r="S87" s="90"/>
      <c r="T87" s="90"/>
    </row>
    <row r="88" spans="1:22" s="157" customFormat="1" ht="14.25">
      <c r="A88" s="86" t="s">
        <v>347</v>
      </c>
      <c r="B88" s="137"/>
      <c r="C88" s="184" t="s">
        <v>100</v>
      </c>
      <c r="D88" s="173" t="s">
        <v>27</v>
      </c>
      <c r="E88" s="256">
        <v>59</v>
      </c>
      <c r="F88" s="47"/>
      <c r="G88" s="47"/>
      <c r="H88" s="185"/>
      <c r="I88" s="47"/>
      <c r="J88" s="47"/>
      <c r="K88" s="47"/>
      <c r="L88" s="90"/>
      <c r="M88" s="90"/>
      <c r="N88" s="90"/>
      <c r="O88" s="90"/>
      <c r="P88" s="90"/>
      <c r="Q88" s="90"/>
      <c r="R88" s="90"/>
      <c r="S88" s="90"/>
      <c r="T88" s="90"/>
    </row>
    <row r="89" spans="1:22" s="157" customFormat="1" ht="14.25">
      <c r="A89" s="86" t="s">
        <v>348</v>
      </c>
      <c r="B89" s="367"/>
      <c r="C89" s="58" t="s">
        <v>32</v>
      </c>
      <c r="D89" s="50" t="s">
        <v>28</v>
      </c>
      <c r="E89" s="47">
        <v>250.43</v>
      </c>
      <c r="F89" s="47"/>
      <c r="G89" s="47"/>
      <c r="H89" s="47"/>
      <c r="I89" s="47"/>
      <c r="J89" s="47"/>
      <c r="K89" s="47"/>
      <c r="L89" s="90"/>
      <c r="M89" s="90"/>
      <c r="N89" s="360"/>
      <c r="O89" s="361"/>
      <c r="P89" s="90"/>
      <c r="Q89" s="90"/>
      <c r="R89" s="90"/>
      <c r="S89" s="90"/>
      <c r="T89" s="90"/>
    </row>
    <row r="90" spans="1:22" s="157" customFormat="1" ht="14.25">
      <c r="A90" s="86" t="s">
        <v>349</v>
      </c>
      <c r="B90" s="137"/>
      <c r="C90" s="58" t="s">
        <v>855</v>
      </c>
      <c r="D90" s="50" t="s">
        <v>28</v>
      </c>
      <c r="E90" s="47">
        <v>75</v>
      </c>
      <c r="F90" s="47"/>
      <c r="G90" s="47"/>
      <c r="H90" s="47"/>
      <c r="I90" s="47"/>
      <c r="J90" s="47"/>
      <c r="K90" s="47"/>
      <c r="L90" s="90"/>
      <c r="M90" s="90"/>
      <c r="N90" s="360"/>
      <c r="O90" s="361"/>
      <c r="P90" s="90"/>
      <c r="Q90" s="90"/>
      <c r="R90" s="90"/>
      <c r="S90" s="90"/>
      <c r="T90" s="90"/>
    </row>
    <row r="91" spans="1:22" s="157" customFormat="1" ht="14.25">
      <c r="A91" s="86" t="s">
        <v>350</v>
      </c>
      <c r="B91" s="358">
        <v>7529</v>
      </c>
      <c r="C91" s="58" t="s">
        <v>89</v>
      </c>
      <c r="D91" s="50" t="s">
        <v>27</v>
      </c>
      <c r="E91" s="47">
        <v>33</v>
      </c>
      <c r="F91" s="47"/>
      <c r="G91" s="47"/>
      <c r="H91" s="47"/>
      <c r="I91" s="47"/>
      <c r="J91" s="47"/>
      <c r="K91" s="47"/>
      <c r="L91" s="90"/>
      <c r="M91" s="90"/>
      <c r="N91" s="362"/>
      <c r="O91" s="361"/>
      <c r="P91" s="90"/>
      <c r="Q91" s="90"/>
      <c r="R91" s="90"/>
      <c r="S91" s="90"/>
      <c r="T91" s="90"/>
    </row>
    <row r="92" spans="1:22" s="157" customFormat="1" ht="14.25">
      <c r="A92" s="86" t="s">
        <v>351</v>
      </c>
      <c r="B92" s="137"/>
      <c r="C92" s="58" t="s">
        <v>52</v>
      </c>
      <c r="D92" s="50" t="s">
        <v>27</v>
      </c>
      <c r="E92" s="47">
        <v>6</v>
      </c>
      <c r="F92" s="47"/>
      <c r="G92" s="47"/>
      <c r="H92" s="47"/>
      <c r="I92" s="47"/>
      <c r="J92" s="47"/>
      <c r="K92" s="47"/>
      <c r="L92" s="90"/>
      <c r="M92" s="90"/>
      <c r="N92" s="363"/>
      <c r="O92" s="361"/>
      <c r="P92" s="90"/>
      <c r="Q92" s="90"/>
      <c r="R92" s="90"/>
      <c r="S92" s="90"/>
      <c r="T92" s="90"/>
    </row>
    <row r="93" spans="1:22" s="157" customFormat="1" ht="14.25">
      <c r="A93" s="86" t="s">
        <v>386</v>
      </c>
      <c r="B93" s="137"/>
      <c r="C93" s="58" t="s">
        <v>654</v>
      </c>
      <c r="D93" s="50" t="s">
        <v>27</v>
      </c>
      <c r="E93" s="47">
        <v>1</v>
      </c>
      <c r="F93" s="47"/>
      <c r="G93" s="47"/>
      <c r="H93" s="47"/>
      <c r="I93" s="47"/>
      <c r="J93" s="47"/>
      <c r="K93" s="47"/>
      <c r="L93" s="90"/>
      <c r="M93" s="90"/>
      <c r="N93" s="360"/>
      <c r="O93" s="360"/>
      <c r="P93" s="361"/>
      <c r="Q93" s="90"/>
      <c r="R93" s="90"/>
      <c r="S93" s="90"/>
      <c r="T93" s="90"/>
    </row>
    <row r="94" spans="1:22" s="157" customFormat="1" ht="14.25">
      <c r="A94" s="86" t="s">
        <v>387</v>
      </c>
      <c r="B94" s="365">
        <v>72331</v>
      </c>
      <c r="C94" s="58" t="s">
        <v>53</v>
      </c>
      <c r="D94" s="50" t="s">
        <v>27</v>
      </c>
      <c r="E94" s="47">
        <v>10</v>
      </c>
      <c r="F94" s="47"/>
      <c r="G94" s="47"/>
      <c r="H94" s="47"/>
      <c r="I94" s="47"/>
      <c r="J94" s="47"/>
      <c r="K94" s="47"/>
      <c r="L94" s="90"/>
      <c r="M94" s="90"/>
      <c r="N94" s="360"/>
      <c r="O94" s="360"/>
      <c r="P94" s="361"/>
      <c r="Q94" s="90"/>
      <c r="R94" s="90"/>
      <c r="S94" s="90"/>
      <c r="T94" s="90"/>
    </row>
    <row r="95" spans="1:22" s="157" customFormat="1" ht="14.25">
      <c r="A95" s="86" t="s">
        <v>389</v>
      </c>
      <c r="B95" s="365">
        <v>72332</v>
      </c>
      <c r="C95" s="58" t="s">
        <v>88</v>
      </c>
      <c r="D95" s="50" t="s">
        <v>27</v>
      </c>
      <c r="E95" s="47">
        <v>5</v>
      </c>
      <c r="F95" s="47"/>
      <c r="G95" s="47"/>
      <c r="H95" s="47"/>
      <c r="I95" s="47"/>
      <c r="J95" s="47"/>
      <c r="K95" s="47"/>
      <c r="L95" s="90"/>
      <c r="M95" s="90"/>
      <c r="N95" s="360"/>
      <c r="O95" s="361"/>
      <c r="P95" s="90"/>
      <c r="Q95" s="90"/>
      <c r="R95" s="90"/>
      <c r="S95" s="90"/>
      <c r="T95" s="90"/>
    </row>
    <row r="96" spans="1:22" s="157" customFormat="1" ht="14.25">
      <c r="A96" s="86" t="s">
        <v>390</v>
      </c>
      <c r="B96" s="137"/>
      <c r="C96" s="186" t="s">
        <v>314</v>
      </c>
      <c r="D96" s="173" t="s">
        <v>27</v>
      </c>
      <c r="E96" s="47">
        <v>45</v>
      </c>
      <c r="F96" s="186"/>
      <c r="G96" s="47"/>
      <c r="H96" s="47"/>
      <c r="I96" s="47"/>
      <c r="J96" s="47"/>
      <c r="K96" s="47"/>
      <c r="L96" s="90"/>
      <c r="M96" s="90"/>
      <c r="N96" s="360"/>
      <c r="O96" s="368"/>
      <c r="P96" s="293"/>
      <c r="Q96" s="90"/>
      <c r="R96" s="90"/>
      <c r="S96" s="90"/>
      <c r="T96" s="90"/>
    </row>
    <row r="97" spans="1:20" s="157" customFormat="1" ht="14.25">
      <c r="A97" s="86" t="s">
        <v>400</v>
      </c>
      <c r="B97" s="137"/>
      <c r="C97" s="49" t="s">
        <v>91</v>
      </c>
      <c r="D97" s="50" t="s">
        <v>27</v>
      </c>
      <c r="E97" s="47">
        <v>26</v>
      </c>
      <c r="F97" s="49"/>
      <c r="G97" s="47"/>
      <c r="H97" s="49"/>
      <c r="I97" s="47"/>
      <c r="J97" s="47"/>
      <c r="K97" s="47"/>
      <c r="L97" s="90"/>
      <c r="M97" s="90"/>
      <c r="N97" s="360"/>
      <c r="O97" s="368"/>
      <c r="P97" s="293"/>
      <c r="Q97" s="90"/>
      <c r="R97" s="90"/>
      <c r="S97" s="90"/>
      <c r="T97" s="90"/>
    </row>
    <row r="98" spans="1:20" s="157" customFormat="1" ht="14.25">
      <c r="A98" s="86" t="s">
        <v>401</v>
      </c>
      <c r="B98" s="359" t="s">
        <v>852</v>
      </c>
      <c r="C98" s="49" t="s">
        <v>50</v>
      </c>
      <c r="D98" s="50" t="s">
        <v>27</v>
      </c>
      <c r="E98" s="47">
        <v>7</v>
      </c>
      <c r="F98" s="47"/>
      <c r="G98" s="47"/>
      <c r="H98" s="49"/>
      <c r="I98" s="47"/>
      <c r="J98" s="47"/>
      <c r="K98" s="47"/>
      <c r="L98" s="90"/>
      <c r="M98" s="90"/>
      <c r="N98" s="360"/>
      <c r="O98" s="361"/>
      <c r="P98" s="90"/>
      <c r="Q98" s="90"/>
      <c r="R98" s="90"/>
      <c r="S98" s="90"/>
      <c r="T98" s="90"/>
    </row>
    <row r="99" spans="1:20" s="157" customFormat="1" ht="14.25">
      <c r="A99" s="86" t="s">
        <v>402</v>
      </c>
      <c r="B99" s="359" t="s">
        <v>852</v>
      </c>
      <c r="C99" s="49" t="s">
        <v>90</v>
      </c>
      <c r="D99" s="50" t="s">
        <v>27</v>
      </c>
      <c r="E99" s="47">
        <v>5</v>
      </c>
      <c r="F99" s="47"/>
      <c r="G99" s="47"/>
      <c r="H99" s="49"/>
      <c r="I99" s="47"/>
      <c r="J99" s="47"/>
      <c r="K99" s="47"/>
      <c r="L99" s="90"/>
      <c r="M99" s="90"/>
      <c r="N99" s="360"/>
      <c r="O99" s="361"/>
      <c r="P99" s="90"/>
      <c r="Q99" s="90"/>
      <c r="R99" s="90"/>
      <c r="S99" s="90"/>
      <c r="T99" s="90"/>
    </row>
    <row r="100" spans="1:20" s="157" customFormat="1" ht="14.25">
      <c r="A100" s="86" t="s">
        <v>403</v>
      </c>
      <c r="B100" s="359" t="s">
        <v>853</v>
      </c>
      <c r="C100" s="49" t="s">
        <v>655</v>
      </c>
      <c r="D100" s="50" t="s">
        <v>27</v>
      </c>
      <c r="E100" s="47">
        <v>1</v>
      </c>
      <c r="F100" s="47"/>
      <c r="G100" s="47"/>
      <c r="H100" s="49"/>
      <c r="I100" s="47"/>
      <c r="J100" s="47"/>
      <c r="K100" s="47"/>
      <c r="L100" s="90"/>
      <c r="M100" s="90"/>
      <c r="N100" s="360"/>
      <c r="O100" s="361"/>
      <c r="P100" s="90"/>
      <c r="Q100" s="90"/>
      <c r="R100" s="90"/>
      <c r="S100" s="90"/>
      <c r="T100" s="90"/>
    </row>
    <row r="101" spans="1:20" s="157" customFormat="1" ht="14.25">
      <c r="A101" s="86" t="s">
        <v>404</v>
      </c>
      <c r="B101" s="359" t="s">
        <v>853</v>
      </c>
      <c r="C101" s="49" t="s">
        <v>51</v>
      </c>
      <c r="D101" s="50" t="s">
        <v>27</v>
      </c>
      <c r="E101" s="47">
        <v>1</v>
      </c>
      <c r="F101" s="47"/>
      <c r="G101" s="47"/>
      <c r="H101" s="49"/>
      <c r="I101" s="47"/>
      <c r="J101" s="47"/>
      <c r="K101" s="47"/>
      <c r="L101" s="90"/>
      <c r="M101" s="90"/>
      <c r="N101" s="360"/>
      <c r="O101" s="361"/>
      <c r="P101" s="90"/>
      <c r="Q101" s="90"/>
      <c r="R101" s="90"/>
      <c r="S101" s="90"/>
      <c r="T101" s="90"/>
    </row>
    <row r="102" spans="1:20" s="157" customFormat="1" ht="14.25">
      <c r="A102" s="86" t="s">
        <v>405</v>
      </c>
      <c r="B102" s="137"/>
      <c r="C102" s="186" t="s">
        <v>93</v>
      </c>
      <c r="D102" s="173" t="s">
        <v>27</v>
      </c>
      <c r="E102" s="47">
        <v>5</v>
      </c>
      <c r="F102" s="47"/>
      <c r="G102" s="47"/>
      <c r="H102" s="186"/>
      <c r="I102" s="47"/>
      <c r="J102" s="47"/>
      <c r="K102" s="47"/>
      <c r="L102" s="90"/>
      <c r="M102" s="90"/>
      <c r="N102" s="360"/>
      <c r="O102" s="361"/>
      <c r="P102" s="90"/>
      <c r="Q102" s="90"/>
      <c r="R102" s="90"/>
      <c r="S102" s="90"/>
      <c r="T102" s="90"/>
    </row>
    <row r="103" spans="1:20" s="157" customFormat="1" ht="14.25">
      <c r="A103" s="86" t="s">
        <v>406</v>
      </c>
      <c r="B103" s="366" t="s">
        <v>854</v>
      </c>
      <c r="C103" s="49" t="s">
        <v>92</v>
      </c>
      <c r="D103" s="50" t="s">
        <v>27</v>
      </c>
      <c r="E103" s="47">
        <v>1</v>
      </c>
      <c r="F103" s="47"/>
      <c r="G103" s="47"/>
      <c r="H103" s="49"/>
      <c r="I103" s="47"/>
      <c r="J103" s="47"/>
      <c r="K103" s="47"/>
      <c r="L103" s="90"/>
      <c r="M103" s="90"/>
      <c r="N103" s="360"/>
      <c r="O103" s="361"/>
      <c r="P103" s="90"/>
      <c r="Q103" s="90"/>
      <c r="R103" s="90"/>
      <c r="S103" s="90"/>
      <c r="T103" s="90"/>
    </row>
    <row r="104" spans="1:20">
      <c r="A104" s="511" t="s">
        <v>84</v>
      </c>
      <c r="B104" s="512"/>
      <c r="C104" s="512"/>
      <c r="D104" s="512"/>
      <c r="E104" s="512"/>
      <c r="F104" s="512"/>
      <c r="G104" s="512"/>
      <c r="H104" s="512"/>
      <c r="I104" s="513"/>
      <c r="J104" s="156"/>
      <c r="K104" s="151"/>
      <c r="L104" s="114"/>
      <c r="M104" s="114"/>
      <c r="N104" s="360"/>
      <c r="O104" s="361"/>
      <c r="P104" s="114"/>
      <c r="Q104" s="114"/>
      <c r="R104" s="114"/>
      <c r="S104" s="114"/>
      <c r="T104" s="114"/>
    </row>
    <row r="105" spans="1:20" s="155" customFormat="1" ht="14.25">
      <c r="A105" s="113" t="s">
        <v>46</v>
      </c>
      <c r="B105" s="486" t="s">
        <v>112</v>
      </c>
      <c r="C105" s="487"/>
      <c r="D105" s="487"/>
      <c r="E105" s="487"/>
      <c r="F105" s="487"/>
      <c r="G105" s="487"/>
      <c r="H105" s="487"/>
      <c r="I105" s="487"/>
      <c r="J105" s="487"/>
      <c r="K105" s="488"/>
      <c r="L105" s="114"/>
      <c r="M105" s="114"/>
      <c r="N105" s="364"/>
      <c r="O105" s="361"/>
      <c r="P105" s="114"/>
      <c r="Q105" s="114"/>
      <c r="R105" s="114"/>
      <c r="S105" s="114"/>
      <c r="T105" s="114"/>
    </row>
    <row r="106" spans="1:20" s="155" customFormat="1" ht="14.25">
      <c r="A106" s="125" t="s">
        <v>352</v>
      </c>
      <c r="B106" s="125"/>
      <c r="C106" s="187" t="s">
        <v>94</v>
      </c>
      <c r="D106" s="94" t="s">
        <v>28</v>
      </c>
      <c r="E106" s="261">
        <v>102.89</v>
      </c>
      <c r="F106" s="47"/>
      <c r="G106" s="47"/>
      <c r="H106" s="47"/>
      <c r="I106" s="47"/>
      <c r="J106" s="47"/>
      <c r="K106" s="47"/>
      <c r="L106" s="114"/>
      <c r="M106" s="114"/>
      <c r="N106" s="364"/>
      <c r="O106" s="361"/>
      <c r="P106" s="114"/>
      <c r="Q106" s="114"/>
      <c r="R106" s="114"/>
      <c r="S106" s="114"/>
      <c r="T106" s="114"/>
    </row>
    <row r="107" spans="1:20" s="155" customFormat="1" ht="14.25">
      <c r="A107" s="125" t="s">
        <v>353</v>
      </c>
      <c r="B107" s="125"/>
      <c r="C107" s="187" t="s">
        <v>95</v>
      </c>
      <c r="D107" s="94" t="s">
        <v>27</v>
      </c>
      <c r="E107" s="261">
        <v>25</v>
      </c>
      <c r="F107" s="93"/>
      <c r="G107" s="47"/>
      <c r="H107" s="93"/>
      <c r="I107" s="47"/>
      <c r="J107" s="47"/>
      <c r="K107" s="47"/>
      <c r="L107" s="114"/>
      <c r="M107" s="114"/>
      <c r="N107" s="364"/>
      <c r="O107" s="361"/>
      <c r="P107" s="114"/>
      <c r="Q107" s="114"/>
      <c r="R107" s="114"/>
      <c r="S107" s="114"/>
      <c r="T107" s="114"/>
    </row>
    <row r="108" spans="1:20" s="155" customFormat="1" ht="14.25">
      <c r="A108" s="125" t="s">
        <v>354</v>
      </c>
      <c r="B108" s="125"/>
      <c r="C108" s="187" t="s">
        <v>99</v>
      </c>
      <c r="D108" s="94" t="s">
        <v>27</v>
      </c>
      <c r="E108" s="261">
        <v>18</v>
      </c>
      <c r="F108" s="93"/>
      <c r="G108" s="47"/>
      <c r="H108" s="93"/>
      <c r="I108" s="47"/>
      <c r="J108" s="47"/>
      <c r="K108" s="47"/>
      <c r="L108" s="114"/>
      <c r="M108" s="114"/>
      <c r="N108" s="364"/>
      <c r="O108" s="361"/>
      <c r="P108" s="114"/>
      <c r="Q108" s="114"/>
      <c r="R108" s="114"/>
      <c r="S108" s="114"/>
      <c r="T108" s="114"/>
    </row>
    <row r="109" spans="1:20" s="155" customFormat="1" ht="24">
      <c r="A109" s="125" t="s">
        <v>355</v>
      </c>
      <c r="B109" s="125"/>
      <c r="C109" s="188" t="s">
        <v>97</v>
      </c>
      <c r="D109" s="94" t="s">
        <v>27</v>
      </c>
      <c r="E109" s="261">
        <v>1</v>
      </c>
      <c r="F109" s="93"/>
      <c r="G109" s="257"/>
      <c r="H109" s="93"/>
      <c r="I109" s="257"/>
      <c r="J109" s="257"/>
      <c r="K109" s="47"/>
      <c r="L109" s="114"/>
      <c r="M109" s="114"/>
      <c r="N109" s="364"/>
      <c r="O109" s="361"/>
      <c r="P109" s="114"/>
      <c r="Q109" s="114"/>
      <c r="R109" s="114"/>
      <c r="S109" s="114"/>
      <c r="T109" s="114"/>
    </row>
    <row r="110" spans="1:20" s="155" customFormat="1" ht="14.25">
      <c r="A110" s="125" t="s">
        <v>356</v>
      </c>
      <c r="B110" s="125"/>
      <c r="C110" s="187" t="s">
        <v>98</v>
      </c>
      <c r="D110" s="94" t="s">
        <v>28</v>
      </c>
      <c r="E110" s="261">
        <v>111.8</v>
      </c>
      <c r="F110" s="93"/>
      <c r="G110" s="47"/>
      <c r="H110" s="93"/>
      <c r="I110" s="47"/>
      <c r="J110" s="47"/>
      <c r="K110" s="47"/>
      <c r="L110" s="114"/>
      <c r="M110" s="114"/>
      <c r="N110" s="364"/>
      <c r="O110" s="361"/>
      <c r="P110" s="114"/>
      <c r="Q110" s="114"/>
      <c r="R110" s="114"/>
      <c r="S110" s="114"/>
      <c r="T110" s="114"/>
    </row>
    <row r="111" spans="1:20" s="155" customFormat="1" ht="14.25">
      <c r="A111" s="125" t="s">
        <v>357</v>
      </c>
      <c r="B111" s="125"/>
      <c r="C111" s="245" t="s">
        <v>96</v>
      </c>
      <c r="D111" s="189" t="s">
        <v>28</v>
      </c>
      <c r="E111" s="262">
        <v>262.83999999999997</v>
      </c>
      <c r="F111" s="190"/>
      <c r="G111" s="47"/>
      <c r="H111" s="190"/>
      <c r="I111" s="47"/>
      <c r="J111" s="47"/>
      <c r="K111" s="47"/>
      <c r="L111" s="114"/>
      <c r="M111" s="114"/>
      <c r="N111" s="364"/>
      <c r="O111" s="361"/>
      <c r="P111" s="114"/>
      <c r="Q111" s="114"/>
      <c r="R111" s="114"/>
      <c r="S111" s="114"/>
      <c r="T111" s="114"/>
    </row>
    <row r="112" spans="1:20" s="155" customFormat="1" ht="14.25">
      <c r="A112" s="125" t="s">
        <v>358</v>
      </c>
      <c r="B112" s="125"/>
      <c r="C112" s="58" t="s">
        <v>48</v>
      </c>
      <c r="D112" s="50" t="s">
        <v>27</v>
      </c>
      <c r="E112" s="172">
        <v>43</v>
      </c>
      <c r="F112" s="47"/>
      <c r="G112" s="47"/>
      <c r="H112" s="47"/>
      <c r="I112" s="47"/>
      <c r="J112" s="47"/>
      <c r="K112" s="47"/>
      <c r="L112" s="114"/>
      <c r="M112" s="114"/>
      <c r="N112" s="364"/>
      <c r="O112" s="361"/>
      <c r="P112" s="114"/>
      <c r="Q112" s="114"/>
      <c r="R112" s="114"/>
      <c r="S112" s="114"/>
      <c r="T112" s="114"/>
    </row>
    <row r="113" spans="1:20" s="155" customFormat="1" ht="14.25">
      <c r="A113" s="482" t="s">
        <v>85</v>
      </c>
      <c r="B113" s="483"/>
      <c r="C113" s="483"/>
      <c r="D113" s="483"/>
      <c r="E113" s="483"/>
      <c r="F113" s="483"/>
      <c r="G113" s="483"/>
      <c r="H113" s="483"/>
      <c r="I113" s="484"/>
      <c r="J113" s="260"/>
      <c r="K113" s="260"/>
      <c r="L113" s="114"/>
      <c r="M113" s="114"/>
      <c r="N113" s="364"/>
      <c r="O113" s="361"/>
      <c r="P113" s="114"/>
      <c r="Q113" s="114"/>
      <c r="R113" s="114"/>
      <c r="S113" s="114"/>
      <c r="T113" s="114"/>
    </row>
    <row r="114" spans="1:20" s="155" customFormat="1" ht="14.25">
      <c r="A114" s="113" t="s">
        <v>138</v>
      </c>
      <c r="B114" s="489" t="s">
        <v>54</v>
      </c>
      <c r="C114" s="489"/>
      <c r="D114" s="489"/>
      <c r="E114" s="489"/>
      <c r="F114" s="489"/>
      <c r="G114" s="489"/>
      <c r="H114" s="489"/>
      <c r="I114" s="489"/>
      <c r="J114" s="489"/>
      <c r="K114" s="489"/>
      <c r="L114" s="114"/>
      <c r="M114" s="114"/>
      <c r="N114" s="364"/>
      <c r="O114" s="375"/>
      <c r="P114" s="376"/>
      <c r="Q114" s="114"/>
      <c r="R114" s="114"/>
      <c r="S114" s="114"/>
      <c r="T114" s="114"/>
    </row>
    <row r="115" spans="1:20" s="155" customFormat="1" ht="14.25">
      <c r="A115" s="125" t="s">
        <v>359</v>
      </c>
      <c r="B115" s="365" t="s">
        <v>747</v>
      </c>
      <c r="C115" s="186" t="s">
        <v>336</v>
      </c>
      <c r="D115" s="173" t="s">
        <v>28</v>
      </c>
      <c r="E115" s="47">
        <v>121.22</v>
      </c>
      <c r="F115" s="47"/>
      <c r="G115" s="47"/>
      <c r="H115" s="47"/>
      <c r="I115" s="47"/>
      <c r="J115" s="47"/>
      <c r="K115" s="47"/>
      <c r="L115" s="114"/>
      <c r="M115" s="114"/>
      <c r="N115" s="364"/>
      <c r="O115" s="375"/>
      <c r="P115" s="376"/>
      <c r="Q115" s="114"/>
      <c r="R115" s="114"/>
      <c r="S115" s="114"/>
      <c r="T115" s="114"/>
    </row>
    <row r="116" spans="1:20" s="155" customFormat="1" ht="14.25">
      <c r="A116" s="125" t="s">
        <v>360</v>
      </c>
      <c r="B116" s="365" t="s">
        <v>856</v>
      </c>
      <c r="C116" s="186" t="s">
        <v>337</v>
      </c>
      <c r="D116" s="173" t="s">
        <v>28</v>
      </c>
      <c r="E116" s="47">
        <v>7.5</v>
      </c>
      <c r="F116" s="47"/>
      <c r="G116" s="47"/>
      <c r="H116" s="47"/>
      <c r="I116" s="47"/>
      <c r="J116" s="47"/>
      <c r="K116" s="47"/>
      <c r="L116" s="114"/>
      <c r="M116" s="114"/>
      <c r="N116" s="362"/>
      <c r="O116" s="361"/>
      <c r="P116" s="376"/>
      <c r="Q116" s="114"/>
      <c r="R116" s="114"/>
      <c r="S116" s="114"/>
      <c r="T116" s="114"/>
    </row>
    <row r="117" spans="1:20" s="155" customFormat="1" ht="14.25">
      <c r="A117" s="125" t="s">
        <v>361</v>
      </c>
      <c r="B117" s="365" t="s">
        <v>857</v>
      </c>
      <c r="C117" s="186" t="s">
        <v>338</v>
      </c>
      <c r="D117" s="173" t="s">
        <v>28</v>
      </c>
      <c r="E117" s="47">
        <v>14.05</v>
      </c>
      <c r="F117" s="47"/>
      <c r="G117" s="47"/>
      <c r="H117" s="47"/>
      <c r="I117" s="47"/>
      <c r="J117" s="47"/>
      <c r="K117" s="47"/>
      <c r="L117" s="114"/>
      <c r="M117" s="114"/>
      <c r="N117" s="384"/>
      <c r="O117" s="361"/>
      <c r="P117" s="376"/>
      <c r="Q117" s="114"/>
      <c r="R117" s="114"/>
      <c r="S117" s="114"/>
      <c r="T117" s="114"/>
    </row>
    <row r="118" spans="1:20" s="155" customFormat="1" ht="14.25">
      <c r="A118" s="125" t="s">
        <v>362</v>
      </c>
      <c r="B118" s="365" t="s">
        <v>858</v>
      </c>
      <c r="C118" s="186" t="s">
        <v>592</v>
      </c>
      <c r="D118" s="173" t="s">
        <v>28</v>
      </c>
      <c r="E118" s="47">
        <v>6</v>
      </c>
      <c r="F118" s="47"/>
      <c r="G118" s="47"/>
      <c r="H118" s="47"/>
      <c r="I118" s="47"/>
      <c r="J118" s="47"/>
      <c r="K118" s="47"/>
      <c r="L118" s="114"/>
      <c r="M118" s="114"/>
      <c r="N118" s="384"/>
      <c r="O118" s="361"/>
      <c r="P118" s="376"/>
      <c r="Q118" s="114"/>
      <c r="R118" s="114"/>
      <c r="S118" s="114"/>
      <c r="T118" s="114"/>
    </row>
    <row r="119" spans="1:20" s="155" customFormat="1" ht="14.25">
      <c r="A119" s="125" t="s">
        <v>363</v>
      </c>
      <c r="B119" s="365" t="s">
        <v>859</v>
      </c>
      <c r="C119" s="186" t="s">
        <v>339</v>
      </c>
      <c r="D119" s="173" t="s">
        <v>28</v>
      </c>
      <c r="E119" s="47">
        <v>36.840000000000003</v>
      </c>
      <c r="F119" s="47"/>
      <c r="G119" s="47"/>
      <c r="H119" s="47"/>
      <c r="I119" s="47"/>
      <c r="J119" s="47"/>
      <c r="K119" s="47"/>
      <c r="L119" s="114"/>
      <c r="M119" s="114"/>
      <c r="N119" s="384"/>
      <c r="O119" s="361"/>
      <c r="P119" s="376"/>
      <c r="Q119" s="114"/>
      <c r="R119" s="114"/>
      <c r="S119" s="114"/>
      <c r="T119" s="114"/>
    </row>
    <row r="120" spans="1:20" s="155" customFormat="1" ht="14.25">
      <c r="A120" s="125" t="s">
        <v>364</v>
      </c>
      <c r="B120" s="365" t="s">
        <v>860</v>
      </c>
      <c r="C120" s="186" t="s">
        <v>593</v>
      </c>
      <c r="D120" s="173" t="s">
        <v>28</v>
      </c>
      <c r="E120" s="47">
        <v>8.6999999999999993</v>
      </c>
      <c r="F120" s="47"/>
      <c r="G120" s="47"/>
      <c r="H120" s="47"/>
      <c r="I120" s="47"/>
      <c r="J120" s="47"/>
      <c r="K120" s="47"/>
      <c r="L120" s="114"/>
      <c r="M120" s="114"/>
      <c r="N120" s="384"/>
      <c r="O120" s="361"/>
      <c r="P120" s="376"/>
      <c r="Q120" s="114"/>
      <c r="R120" s="114"/>
      <c r="S120" s="114"/>
      <c r="T120" s="114"/>
    </row>
    <row r="121" spans="1:20" s="155" customFormat="1" ht="14.25">
      <c r="A121" s="125" t="s">
        <v>365</v>
      </c>
      <c r="B121" s="365" t="s">
        <v>861</v>
      </c>
      <c r="C121" s="186" t="s">
        <v>594</v>
      </c>
      <c r="D121" s="173" t="s">
        <v>28</v>
      </c>
      <c r="E121" s="47">
        <v>11.6</v>
      </c>
      <c r="F121" s="47"/>
      <c r="G121" s="47"/>
      <c r="H121" s="47"/>
      <c r="I121" s="47"/>
      <c r="J121" s="47"/>
      <c r="K121" s="47"/>
      <c r="L121" s="114"/>
      <c r="M121" s="114"/>
      <c r="N121" s="384"/>
      <c r="O121" s="361"/>
      <c r="P121" s="376"/>
      <c r="Q121" s="114"/>
      <c r="R121" s="114"/>
      <c r="S121" s="114"/>
      <c r="T121" s="114"/>
    </row>
    <row r="122" spans="1:20" s="155" customFormat="1" ht="14.25">
      <c r="A122" s="125" t="s">
        <v>366</v>
      </c>
      <c r="B122" s="365" t="s">
        <v>862</v>
      </c>
      <c r="C122" s="186" t="s">
        <v>340</v>
      </c>
      <c r="D122" s="173" t="s">
        <v>28</v>
      </c>
      <c r="E122" s="47">
        <v>10.98</v>
      </c>
      <c r="F122" s="47"/>
      <c r="G122" s="47"/>
      <c r="H122" s="47"/>
      <c r="I122" s="47"/>
      <c r="J122" s="47"/>
      <c r="K122" s="47"/>
      <c r="L122" s="114"/>
      <c r="M122" s="114"/>
      <c r="N122" s="384"/>
      <c r="O122" s="361"/>
      <c r="P122" s="376"/>
      <c r="Q122" s="114"/>
      <c r="R122" s="114"/>
      <c r="S122" s="114"/>
      <c r="T122" s="114"/>
    </row>
    <row r="123" spans="1:20" s="155" customFormat="1" ht="14.25">
      <c r="A123" s="125" t="s">
        <v>367</v>
      </c>
      <c r="B123" s="365">
        <v>72557</v>
      </c>
      <c r="C123" s="186" t="s">
        <v>55</v>
      </c>
      <c r="D123" s="173" t="s">
        <v>27</v>
      </c>
      <c r="E123" s="47">
        <v>8</v>
      </c>
      <c r="F123" s="47"/>
      <c r="G123" s="47"/>
      <c r="H123" s="47"/>
      <c r="I123" s="47"/>
      <c r="J123" s="47"/>
      <c r="K123" s="47"/>
      <c r="L123" s="114"/>
      <c r="M123" s="114"/>
      <c r="N123" s="384"/>
      <c r="O123" s="361"/>
      <c r="P123" s="376"/>
      <c r="Q123" s="114"/>
      <c r="R123" s="114"/>
      <c r="S123" s="114"/>
      <c r="T123" s="114"/>
    </row>
    <row r="124" spans="1:20" s="155" customFormat="1" ht="14.25">
      <c r="A124" s="125" t="s">
        <v>368</v>
      </c>
      <c r="B124" s="365">
        <v>72564</v>
      </c>
      <c r="C124" s="186" t="s">
        <v>56</v>
      </c>
      <c r="D124" s="173" t="s">
        <v>27</v>
      </c>
      <c r="E124" s="47">
        <v>2</v>
      </c>
      <c r="F124" s="47"/>
      <c r="G124" s="47"/>
      <c r="H124" s="47"/>
      <c r="I124" s="47"/>
      <c r="J124" s="47"/>
      <c r="K124" s="47"/>
      <c r="L124" s="114"/>
      <c r="M124" s="114"/>
      <c r="N124" s="384"/>
      <c r="O124" s="361"/>
      <c r="P124" s="372"/>
      <c r="Q124" s="114"/>
      <c r="R124" s="114"/>
      <c r="S124" s="114"/>
      <c r="T124" s="114"/>
    </row>
    <row r="125" spans="1:20" s="155" customFormat="1" ht="14.25">
      <c r="A125" s="125" t="s">
        <v>369</v>
      </c>
      <c r="B125" s="365">
        <v>72562</v>
      </c>
      <c r="C125" s="186" t="s">
        <v>57</v>
      </c>
      <c r="D125" s="173" t="s">
        <v>27</v>
      </c>
      <c r="E125" s="47">
        <v>2</v>
      </c>
      <c r="F125" s="47"/>
      <c r="G125" s="47"/>
      <c r="H125" s="47"/>
      <c r="I125" s="47"/>
      <c r="J125" s="47"/>
      <c r="K125" s="47"/>
      <c r="L125" s="114"/>
      <c r="M125" s="114"/>
      <c r="N125" s="384"/>
      <c r="O125" s="361"/>
      <c r="P125" s="376"/>
      <c r="Q125" s="114"/>
      <c r="R125" s="114"/>
      <c r="S125" s="114"/>
      <c r="T125" s="114"/>
    </row>
    <row r="126" spans="1:20" s="155" customFormat="1" ht="14.25">
      <c r="A126" s="125" t="s">
        <v>370</v>
      </c>
      <c r="B126" s="369">
        <v>72561</v>
      </c>
      <c r="C126" s="186" t="s">
        <v>590</v>
      </c>
      <c r="D126" s="173" t="s">
        <v>27</v>
      </c>
      <c r="E126" s="47">
        <v>7</v>
      </c>
      <c r="F126" s="47"/>
      <c r="G126" s="47"/>
      <c r="H126" s="47"/>
      <c r="I126" s="47"/>
      <c r="J126" s="47"/>
      <c r="K126" s="47"/>
      <c r="L126" s="114"/>
      <c r="M126" s="114"/>
      <c r="N126" s="362"/>
      <c r="O126" s="361"/>
      <c r="P126" s="372"/>
      <c r="Q126" s="114"/>
      <c r="R126" s="114"/>
      <c r="S126" s="114"/>
      <c r="T126" s="114"/>
    </row>
    <row r="127" spans="1:20" s="155" customFormat="1" ht="14.25">
      <c r="A127" s="125" t="s">
        <v>371</v>
      </c>
      <c r="B127" s="369">
        <v>72560</v>
      </c>
      <c r="C127" s="186" t="s">
        <v>319</v>
      </c>
      <c r="D127" s="173" t="s">
        <v>27</v>
      </c>
      <c r="E127" s="47">
        <v>10</v>
      </c>
      <c r="F127" s="47"/>
      <c r="G127" s="47"/>
      <c r="H127" s="47"/>
      <c r="I127" s="47"/>
      <c r="J127" s="47"/>
      <c r="K127" s="47"/>
      <c r="L127" s="114"/>
      <c r="M127" s="114"/>
      <c r="N127" s="384"/>
      <c r="O127" s="361"/>
      <c r="P127" s="372"/>
      <c r="Q127" s="114"/>
      <c r="R127" s="114"/>
      <c r="S127" s="114"/>
      <c r="T127" s="114"/>
    </row>
    <row r="128" spans="1:20" s="155" customFormat="1" ht="14.25">
      <c r="A128" s="125" t="s">
        <v>372</v>
      </c>
      <c r="B128" s="369">
        <v>72573</v>
      </c>
      <c r="C128" s="186" t="s">
        <v>290</v>
      </c>
      <c r="D128" s="173" t="s">
        <v>27</v>
      </c>
      <c r="E128" s="47">
        <v>12</v>
      </c>
      <c r="F128" s="47"/>
      <c r="G128" s="47"/>
      <c r="H128" s="47"/>
      <c r="I128" s="47"/>
      <c r="J128" s="47"/>
      <c r="K128" s="47"/>
      <c r="L128" s="114"/>
      <c r="M128" s="114"/>
      <c r="N128" s="384"/>
      <c r="O128" s="361"/>
      <c r="P128" s="372"/>
      <c r="Q128" s="114"/>
      <c r="R128" s="114"/>
      <c r="S128" s="114"/>
      <c r="T128" s="114"/>
    </row>
    <row r="129" spans="1:20" s="155" customFormat="1" ht="14.25">
      <c r="A129" s="125" t="s">
        <v>373</v>
      </c>
      <c r="B129" s="369">
        <v>72580</v>
      </c>
      <c r="C129" s="186" t="s">
        <v>291</v>
      </c>
      <c r="D129" s="173" t="s">
        <v>27</v>
      </c>
      <c r="E129" s="47">
        <v>7</v>
      </c>
      <c r="F129" s="47"/>
      <c r="G129" s="47"/>
      <c r="H129" s="47"/>
      <c r="I129" s="47"/>
      <c r="J129" s="47"/>
      <c r="K129" s="47"/>
      <c r="L129" s="114"/>
      <c r="M129" s="114"/>
      <c r="N129" s="384"/>
      <c r="O129" s="361"/>
      <c r="P129" s="372"/>
      <c r="Q129" s="114"/>
      <c r="R129" s="114"/>
      <c r="S129" s="114"/>
      <c r="T129" s="114"/>
    </row>
    <row r="130" spans="1:20" s="155" customFormat="1" ht="14.25">
      <c r="A130" s="125" t="s">
        <v>374</v>
      </c>
      <c r="B130" s="138"/>
      <c r="C130" s="186" t="s">
        <v>58</v>
      </c>
      <c r="D130" s="173" t="s">
        <v>27</v>
      </c>
      <c r="E130" s="47">
        <v>3</v>
      </c>
      <c r="F130" s="47"/>
      <c r="G130" s="47"/>
      <c r="H130" s="47"/>
      <c r="I130" s="47"/>
      <c r="J130" s="47"/>
      <c r="K130" s="47"/>
      <c r="L130" s="114"/>
      <c r="M130" s="114"/>
      <c r="N130" s="362"/>
      <c r="O130" s="361"/>
      <c r="P130" s="372"/>
      <c r="Q130" s="114"/>
      <c r="R130" s="114"/>
      <c r="S130" s="114"/>
      <c r="T130" s="114"/>
    </row>
    <row r="131" spans="1:20" s="155" customFormat="1" ht="14.25">
      <c r="A131" s="125" t="s">
        <v>375</v>
      </c>
      <c r="B131" s="138"/>
      <c r="C131" s="186" t="s">
        <v>59</v>
      </c>
      <c r="D131" s="173" t="s">
        <v>27</v>
      </c>
      <c r="E131" s="47">
        <v>5</v>
      </c>
      <c r="F131" s="47"/>
      <c r="G131" s="47"/>
      <c r="H131" s="47"/>
      <c r="I131" s="47"/>
      <c r="J131" s="47"/>
      <c r="K131" s="47"/>
      <c r="L131" s="114"/>
      <c r="M131" s="114"/>
      <c r="N131" s="384"/>
      <c r="O131" s="361"/>
      <c r="P131" s="376"/>
      <c r="Q131" s="114"/>
      <c r="R131" s="114"/>
      <c r="S131" s="114"/>
      <c r="T131" s="114"/>
    </row>
    <row r="132" spans="1:20" s="155" customFormat="1" ht="14.25">
      <c r="A132" s="125" t="s">
        <v>376</v>
      </c>
      <c r="B132" s="138"/>
      <c r="C132" s="186" t="s">
        <v>293</v>
      </c>
      <c r="D132" s="173" t="s">
        <v>27</v>
      </c>
      <c r="E132" s="47">
        <v>4</v>
      </c>
      <c r="F132" s="47"/>
      <c r="G132" s="47"/>
      <c r="H132" s="47"/>
      <c r="I132" s="47"/>
      <c r="J132" s="47"/>
      <c r="K132" s="47"/>
      <c r="L132" s="114"/>
      <c r="M132" s="114"/>
      <c r="N132" s="384"/>
      <c r="O132" s="361"/>
      <c r="P132" s="376"/>
      <c r="Q132" s="114"/>
      <c r="R132" s="114"/>
      <c r="S132" s="114"/>
      <c r="T132" s="114"/>
    </row>
    <row r="133" spans="1:20" s="155" customFormat="1" ht="14.25">
      <c r="A133" s="125" t="s">
        <v>377</v>
      </c>
      <c r="B133" s="138"/>
      <c r="C133" s="186" t="s">
        <v>60</v>
      </c>
      <c r="D133" s="173" t="s">
        <v>27</v>
      </c>
      <c r="E133" s="47">
        <v>6</v>
      </c>
      <c r="F133" s="47"/>
      <c r="G133" s="47"/>
      <c r="H133" s="47"/>
      <c r="I133" s="47"/>
      <c r="J133" s="47"/>
      <c r="K133" s="47"/>
      <c r="L133" s="114"/>
      <c r="M133" s="114"/>
      <c r="N133" s="384"/>
      <c r="O133" s="361"/>
      <c r="P133" s="372"/>
      <c r="Q133" s="114"/>
      <c r="R133" s="114"/>
      <c r="S133" s="114"/>
      <c r="T133" s="114"/>
    </row>
    <row r="134" spans="1:20" s="155" customFormat="1" ht="14.25">
      <c r="A134" s="125" t="s">
        <v>378</v>
      </c>
      <c r="B134" s="138"/>
      <c r="C134" s="186" t="s">
        <v>61</v>
      </c>
      <c r="D134" s="173" t="s">
        <v>27</v>
      </c>
      <c r="E134" s="47">
        <v>2</v>
      </c>
      <c r="F134" s="47"/>
      <c r="G134" s="47"/>
      <c r="H134" s="47"/>
      <c r="I134" s="47"/>
      <c r="J134" s="47"/>
      <c r="K134" s="47"/>
      <c r="L134" s="114"/>
      <c r="M134" s="114"/>
      <c r="N134" s="385"/>
      <c r="O134" s="361"/>
      <c r="P134" s="372"/>
      <c r="Q134" s="114"/>
      <c r="R134" s="114"/>
      <c r="S134" s="114"/>
      <c r="T134" s="114"/>
    </row>
    <row r="135" spans="1:20" s="155" customFormat="1" ht="14.25">
      <c r="A135" s="125" t="s">
        <v>379</v>
      </c>
      <c r="B135" s="138"/>
      <c r="C135" s="186" t="s">
        <v>591</v>
      </c>
      <c r="D135" s="173" t="s">
        <v>27</v>
      </c>
      <c r="E135" s="47">
        <v>2</v>
      </c>
      <c r="F135" s="47"/>
      <c r="G135" s="47"/>
      <c r="H135" s="47"/>
      <c r="I135" s="47"/>
      <c r="J135" s="47"/>
      <c r="K135" s="47"/>
      <c r="L135" s="114"/>
      <c r="M135" s="114"/>
      <c r="N135" s="384"/>
      <c r="O135" s="361"/>
      <c r="P135" s="372"/>
      <c r="Q135" s="114"/>
      <c r="R135" s="114"/>
      <c r="S135" s="114"/>
      <c r="T135" s="114"/>
    </row>
    <row r="136" spans="1:20" s="155" customFormat="1" ht="14.25">
      <c r="A136" s="125" t="s">
        <v>385</v>
      </c>
      <c r="B136" s="138"/>
      <c r="C136" s="186" t="s">
        <v>295</v>
      </c>
      <c r="D136" s="173" t="s">
        <v>27</v>
      </c>
      <c r="E136" s="47">
        <v>2</v>
      </c>
      <c r="F136" s="47"/>
      <c r="G136" s="47"/>
      <c r="H136" s="47"/>
      <c r="I136" s="47"/>
      <c r="J136" s="47"/>
      <c r="K136" s="47"/>
      <c r="L136" s="114"/>
      <c r="M136" s="114"/>
      <c r="N136" s="384"/>
      <c r="O136" s="361"/>
      <c r="P136" s="376"/>
      <c r="Q136" s="114"/>
      <c r="R136" s="114"/>
      <c r="S136" s="114"/>
      <c r="T136" s="114"/>
    </row>
    <row r="137" spans="1:20" s="155" customFormat="1" ht="14.25">
      <c r="A137" s="125" t="s">
        <v>391</v>
      </c>
      <c r="B137" s="138"/>
      <c r="C137" s="186" t="s">
        <v>62</v>
      </c>
      <c r="D137" s="173" t="s">
        <v>27</v>
      </c>
      <c r="E137" s="47">
        <v>3</v>
      </c>
      <c r="F137" s="47"/>
      <c r="G137" s="47"/>
      <c r="H137" s="47"/>
      <c r="I137" s="47"/>
      <c r="J137" s="47"/>
      <c r="K137" s="47"/>
      <c r="L137" s="114"/>
      <c r="M137" s="114"/>
      <c r="N137" s="360"/>
      <c r="O137" s="361"/>
      <c r="P137" s="372"/>
      <c r="Q137" s="114"/>
      <c r="R137" s="114"/>
      <c r="S137" s="114"/>
      <c r="T137" s="114"/>
    </row>
    <row r="138" spans="1:20" s="155" customFormat="1" ht="14.25">
      <c r="A138" s="125" t="s">
        <v>392</v>
      </c>
      <c r="B138" s="138"/>
      <c r="C138" s="191" t="s">
        <v>66</v>
      </c>
      <c r="D138" s="173" t="s">
        <v>27</v>
      </c>
      <c r="E138" s="47">
        <v>5</v>
      </c>
      <c r="F138" s="47"/>
      <c r="G138" s="47"/>
      <c r="H138" s="47"/>
      <c r="I138" s="47"/>
      <c r="J138" s="47"/>
      <c r="K138" s="47"/>
      <c r="L138" s="114"/>
      <c r="M138" s="114"/>
      <c r="N138" s="384"/>
      <c r="O138" s="361"/>
      <c r="P138" s="376"/>
      <c r="Q138" s="114"/>
      <c r="R138" s="114"/>
      <c r="S138" s="114"/>
      <c r="T138" s="114"/>
    </row>
    <row r="139" spans="1:20" s="155" customFormat="1" ht="14.25">
      <c r="A139" s="125" t="s">
        <v>393</v>
      </c>
      <c r="B139" s="138"/>
      <c r="C139" s="191" t="s">
        <v>296</v>
      </c>
      <c r="D139" s="173" t="s">
        <v>27</v>
      </c>
      <c r="E139" s="47">
        <v>4</v>
      </c>
      <c r="F139" s="47"/>
      <c r="G139" s="47"/>
      <c r="H139" s="47"/>
      <c r="I139" s="47"/>
      <c r="J139" s="47"/>
      <c r="K139" s="47"/>
      <c r="L139" s="114"/>
      <c r="M139" s="114"/>
      <c r="N139" s="384"/>
      <c r="O139" s="361"/>
      <c r="P139" s="376"/>
      <c r="Q139" s="114"/>
      <c r="R139" s="114"/>
      <c r="S139" s="114"/>
      <c r="T139" s="114"/>
    </row>
    <row r="140" spans="1:20" s="155" customFormat="1" ht="14.25">
      <c r="A140" s="125" t="s">
        <v>394</v>
      </c>
      <c r="B140" s="370" t="s">
        <v>863</v>
      </c>
      <c r="C140" s="191" t="s">
        <v>297</v>
      </c>
      <c r="D140" s="173" t="s">
        <v>27</v>
      </c>
      <c r="E140" s="47">
        <v>4</v>
      </c>
      <c r="F140" s="47"/>
      <c r="G140" s="47"/>
      <c r="H140" s="47"/>
      <c r="I140" s="47"/>
      <c r="J140" s="47"/>
      <c r="K140" s="47"/>
      <c r="L140" s="114"/>
      <c r="M140" s="114"/>
      <c r="N140" s="386"/>
      <c r="O140" s="361"/>
      <c r="P140" s="376"/>
      <c r="Q140" s="114"/>
      <c r="R140" s="114"/>
      <c r="S140" s="114"/>
      <c r="T140" s="114"/>
    </row>
    <row r="141" spans="1:20" s="155" customFormat="1" ht="14.25">
      <c r="A141" s="125" t="s">
        <v>395</v>
      </c>
      <c r="B141" s="138"/>
      <c r="C141" s="186" t="s">
        <v>298</v>
      </c>
      <c r="D141" s="173" t="s">
        <v>27</v>
      </c>
      <c r="E141" s="47">
        <v>2</v>
      </c>
      <c r="F141" s="47"/>
      <c r="G141" s="47"/>
      <c r="H141" s="47"/>
      <c r="I141" s="47"/>
      <c r="J141" s="47"/>
      <c r="K141" s="47"/>
      <c r="L141" s="114"/>
      <c r="M141" s="114"/>
      <c r="N141" s="384"/>
      <c r="O141" s="361"/>
      <c r="P141" s="376"/>
      <c r="Q141" s="114"/>
      <c r="R141" s="114"/>
      <c r="S141" s="114"/>
      <c r="T141" s="114"/>
    </row>
    <row r="142" spans="1:20" s="155" customFormat="1" ht="14.25">
      <c r="A142" s="125" t="s">
        <v>396</v>
      </c>
      <c r="B142" s="138"/>
      <c r="C142" s="186" t="s">
        <v>299</v>
      </c>
      <c r="D142" s="173" t="s">
        <v>27</v>
      </c>
      <c r="E142" s="47">
        <v>2</v>
      </c>
      <c r="F142" s="47"/>
      <c r="G142" s="47"/>
      <c r="H142" s="47"/>
      <c r="I142" s="47"/>
      <c r="J142" s="47"/>
      <c r="K142" s="47"/>
      <c r="L142" s="114"/>
      <c r="M142" s="114"/>
      <c r="N142" s="384"/>
      <c r="O142" s="361"/>
      <c r="P142" s="376"/>
      <c r="Q142" s="114"/>
      <c r="R142" s="114"/>
      <c r="S142" s="114"/>
      <c r="T142" s="114"/>
    </row>
    <row r="143" spans="1:20" s="155" customFormat="1" ht="14.25">
      <c r="A143" s="125" t="s">
        <v>397</v>
      </c>
      <c r="B143" s="138"/>
      <c r="C143" s="186" t="s">
        <v>300</v>
      </c>
      <c r="D143" s="173" t="s">
        <v>27</v>
      </c>
      <c r="E143" s="47">
        <v>2</v>
      </c>
      <c r="F143" s="47"/>
      <c r="G143" s="47"/>
      <c r="H143" s="47"/>
      <c r="I143" s="47"/>
      <c r="J143" s="47"/>
      <c r="K143" s="47"/>
      <c r="L143" s="114"/>
      <c r="M143" s="114"/>
      <c r="N143" s="384"/>
      <c r="O143" s="361"/>
      <c r="P143" s="376"/>
      <c r="Q143" s="114"/>
      <c r="R143" s="114"/>
      <c r="S143" s="114"/>
      <c r="T143" s="114"/>
    </row>
    <row r="144" spans="1:20" s="155" customFormat="1" ht="14.25">
      <c r="A144" s="125" t="s">
        <v>398</v>
      </c>
      <c r="B144" s="138"/>
      <c r="C144" s="186" t="s">
        <v>63</v>
      </c>
      <c r="D144" s="173" t="s">
        <v>27</v>
      </c>
      <c r="E144" s="47">
        <v>4</v>
      </c>
      <c r="F144" s="47"/>
      <c r="G144" s="47"/>
      <c r="H144" s="47"/>
      <c r="I144" s="47"/>
      <c r="J144" s="47"/>
      <c r="K144" s="47"/>
      <c r="L144" s="114"/>
      <c r="M144" s="114"/>
      <c r="N144" s="384"/>
      <c r="O144" s="361"/>
      <c r="P144" s="376"/>
      <c r="Q144" s="114"/>
      <c r="R144" s="114"/>
      <c r="S144" s="114"/>
      <c r="T144" s="114"/>
    </row>
    <row r="145" spans="1:22" s="155" customFormat="1" ht="14.25">
      <c r="A145" s="125" t="s">
        <v>399</v>
      </c>
      <c r="B145" s="138"/>
      <c r="C145" s="186" t="s">
        <v>301</v>
      </c>
      <c r="D145" s="173" t="s">
        <v>27</v>
      </c>
      <c r="E145" s="47">
        <v>2</v>
      </c>
      <c r="F145" s="47"/>
      <c r="G145" s="47"/>
      <c r="H145" s="47"/>
      <c r="I145" s="47"/>
      <c r="J145" s="47"/>
      <c r="K145" s="47"/>
      <c r="L145" s="114"/>
      <c r="M145" s="114"/>
      <c r="N145" s="384"/>
      <c r="O145" s="387"/>
      <c r="P145" s="376"/>
      <c r="Q145" s="114"/>
      <c r="R145" s="114"/>
      <c r="S145" s="114"/>
      <c r="T145" s="114"/>
    </row>
    <row r="146" spans="1:22" s="155" customFormat="1" ht="14.25">
      <c r="A146" s="125" t="s">
        <v>412</v>
      </c>
      <c r="B146" s="138"/>
      <c r="C146" s="186" t="s">
        <v>302</v>
      </c>
      <c r="D146" s="173" t="s">
        <v>27</v>
      </c>
      <c r="E146" s="47">
        <v>2</v>
      </c>
      <c r="F146" s="47"/>
      <c r="G146" s="47"/>
      <c r="H146" s="47"/>
      <c r="I146" s="47"/>
      <c r="J146" s="47"/>
      <c r="K146" s="47"/>
      <c r="L146" s="114"/>
      <c r="M146" s="114"/>
      <c r="N146" s="384"/>
      <c r="O146" s="387"/>
      <c r="P146" s="376"/>
      <c r="Q146" s="114"/>
      <c r="R146" s="114"/>
      <c r="S146" s="114"/>
      <c r="T146" s="114"/>
    </row>
    <row r="147" spans="1:22" s="155" customFormat="1" ht="14.25">
      <c r="A147" s="125" t="s">
        <v>413</v>
      </c>
      <c r="B147" s="138"/>
      <c r="C147" s="186" t="s">
        <v>600</v>
      </c>
      <c r="D147" s="173" t="s">
        <v>27</v>
      </c>
      <c r="E147" s="47">
        <v>1</v>
      </c>
      <c r="F147" s="47"/>
      <c r="G147" s="47"/>
      <c r="H147" s="47"/>
      <c r="I147" s="47"/>
      <c r="J147" s="47"/>
      <c r="K147" s="47"/>
      <c r="L147" s="114"/>
      <c r="M147" s="114"/>
      <c r="N147" s="384"/>
      <c r="O147" s="387"/>
      <c r="P147" s="372"/>
      <c r="Q147" s="114"/>
      <c r="R147" s="114"/>
      <c r="S147" s="114"/>
      <c r="T147" s="114"/>
    </row>
    <row r="148" spans="1:22" s="155" customFormat="1" ht="14.25">
      <c r="A148" s="125" t="s">
        <v>414</v>
      </c>
      <c r="B148" s="138"/>
      <c r="C148" s="186" t="s">
        <v>303</v>
      </c>
      <c r="D148" s="173" t="s">
        <v>27</v>
      </c>
      <c r="E148" s="47">
        <v>11</v>
      </c>
      <c r="F148" s="47"/>
      <c r="G148" s="47"/>
      <c r="H148" s="47"/>
      <c r="I148" s="47"/>
      <c r="J148" s="47"/>
      <c r="K148" s="47"/>
      <c r="L148" s="114"/>
      <c r="M148" s="114"/>
      <c r="N148" s="384"/>
      <c r="O148" s="387"/>
      <c r="P148" s="372"/>
      <c r="Q148" s="114"/>
      <c r="R148" s="114"/>
      <c r="S148" s="114"/>
      <c r="T148" s="114"/>
    </row>
    <row r="149" spans="1:22" s="155" customFormat="1" ht="14.25">
      <c r="A149" s="125" t="s">
        <v>415</v>
      </c>
      <c r="B149" s="138"/>
      <c r="C149" s="186" t="s">
        <v>64</v>
      </c>
      <c r="D149" s="173" t="s">
        <v>27</v>
      </c>
      <c r="E149" s="47">
        <v>6</v>
      </c>
      <c r="F149" s="47"/>
      <c r="G149" s="47"/>
      <c r="H149" s="47"/>
      <c r="I149" s="47"/>
      <c r="J149" s="47"/>
      <c r="K149" s="47"/>
      <c r="L149" s="114"/>
      <c r="M149" s="114"/>
      <c r="N149" s="386"/>
      <c r="O149" s="387"/>
      <c r="P149" s="372"/>
      <c r="Q149" s="114"/>
      <c r="R149" s="114"/>
      <c r="S149" s="114"/>
      <c r="T149" s="114"/>
    </row>
    <row r="150" spans="1:22" s="155" customFormat="1" ht="14.25">
      <c r="A150" s="125" t="s">
        <v>416</v>
      </c>
      <c r="B150" s="138"/>
      <c r="C150" s="186" t="s">
        <v>65</v>
      </c>
      <c r="D150" s="173" t="s">
        <v>27</v>
      </c>
      <c r="E150" s="47">
        <v>2</v>
      </c>
      <c r="F150" s="47"/>
      <c r="G150" s="47"/>
      <c r="H150" s="47"/>
      <c r="I150" s="47"/>
      <c r="J150" s="47"/>
      <c r="K150" s="47"/>
      <c r="L150" s="114"/>
      <c r="M150" s="114"/>
      <c r="N150" s="384"/>
      <c r="O150" s="361"/>
      <c r="P150" s="372"/>
      <c r="Q150" s="114"/>
      <c r="R150" s="114"/>
      <c r="S150" s="114"/>
      <c r="T150" s="114"/>
    </row>
    <row r="151" spans="1:22" s="294" customFormat="1" ht="14.25">
      <c r="A151" s="125" t="s">
        <v>417</v>
      </c>
      <c r="B151" s="328" t="s">
        <v>848</v>
      </c>
      <c r="C151" s="357" t="s">
        <v>838</v>
      </c>
      <c r="D151" s="334" t="s">
        <v>27</v>
      </c>
      <c r="E151" s="54">
        <v>1</v>
      </c>
      <c r="F151" s="291"/>
      <c r="G151" s="291"/>
      <c r="H151" s="291"/>
      <c r="I151" s="291"/>
      <c r="J151" s="291"/>
      <c r="K151" s="291"/>
      <c r="L151" s="293"/>
      <c r="M151" s="293"/>
      <c r="N151" s="384"/>
      <c r="O151" s="387"/>
      <c r="P151" s="376"/>
      <c r="Q151" s="293"/>
      <c r="R151" s="293"/>
      <c r="S151" s="293"/>
      <c r="T151" s="293"/>
    </row>
    <row r="152" spans="1:22" s="155" customFormat="1" ht="14.25">
      <c r="A152" s="125" t="s">
        <v>418</v>
      </c>
      <c r="B152" s="138"/>
      <c r="C152" s="186" t="s">
        <v>636</v>
      </c>
      <c r="D152" s="173" t="s">
        <v>27</v>
      </c>
      <c r="E152" s="47">
        <v>4</v>
      </c>
      <c r="F152" s="47"/>
      <c r="G152" s="47"/>
      <c r="H152" s="47"/>
      <c r="I152" s="47"/>
      <c r="J152" s="47"/>
      <c r="K152" s="47"/>
      <c r="L152" s="114"/>
      <c r="M152" s="114"/>
      <c r="N152" s="384"/>
      <c r="O152" s="387"/>
      <c r="P152" s="373"/>
      <c r="Q152" s="114"/>
      <c r="R152" s="114"/>
      <c r="S152" s="114"/>
      <c r="T152" s="114"/>
    </row>
    <row r="153" spans="1:22" s="155" customFormat="1" ht="14.25">
      <c r="A153" s="125" t="s">
        <v>419</v>
      </c>
      <c r="B153" s="138"/>
      <c r="C153" s="186" t="s">
        <v>625</v>
      </c>
      <c r="D153" s="173" t="s">
        <v>27</v>
      </c>
      <c r="E153" s="47">
        <v>4</v>
      </c>
      <c r="F153" s="47"/>
      <c r="G153" s="47"/>
      <c r="H153" s="47"/>
      <c r="I153" s="47"/>
      <c r="J153" s="47"/>
      <c r="K153" s="47"/>
      <c r="L153" s="114"/>
      <c r="M153" s="114"/>
      <c r="N153" s="384"/>
      <c r="O153" s="361"/>
      <c r="P153" s="377"/>
      <c r="Q153" s="114"/>
      <c r="R153" s="114"/>
      <c r="S153" s="114"/>
      <c r="T153" s="114"/>
    </row>
    <row r="154" spans="1:22" s="155" customFormat="1" ht="14.25">
      <c r="A154" s="125" t="s">
        <v>420</v>
      </c>
      <c r="B154" s="138"/>
      <c r="C154" s="186" t="s">
        <v>626</v>
      </c>
      <c r="D154" s="173" t="s">
        <v>27</v>
      </c>
      <c r="E154" s="47">
        <v>6</v>
      </c>
      <c r="F154" s="47"/>
      <c r="G154" s="47"/>
      <c r="H154" s="47"/>
      <c r="I154" s="47"/>
      <c r="J154" s="47"/>
      <c r="K154" s="47"/>
      <c r="L154" s="114"/>
      <c r="M154" s="114"/>
      <c r="N154" s="384"/>
      <c r="O154" s="361"/>
      <c r="P154" s="377"/>
      <c r="Q154" s="114"/>
      <c r="R154" s="114"/>
      <c r="S154" s="114"/>
      <c r="T154" s="114"/>
    </row>
    <row r="155" spans="1:22" s="155" customFormat="1" ht="14.25">
      <c r="A155" s="125" t="s">
        <v>606</v>
      </c>
      <c r="B155" s="138"/>
      <c r="C155" s="186" t="s">
        <v>627</v>
      </c>
      <c r="D155" s="173" t="s">
        <v>27</v>
      </c>
      <c r="E155" s="47">
        <v>7</v>
      </c>
      <c r="F155" s="47"/>
      <c r="G155" s="47"/>
      <c r="H155" s="47"/>
      <c r="I155" s="47"/>
      <c r="J155" s="47"/>
      <c r="K155" s="47"/>
      <c r="L155" s="114"/>
      <c r="M155" s="114"/>
      <c r="N155" s="384"/>
      <c r="O155" s="361"/>
      <c r="P155" s="373"/>
      <c r="Q155" s="114"/>
      <c r="R155" s="114"/>
      <c r="S155" s="114"/>
      <c r="T155" s="114"/>
    </row>
    <row r="156" spans="1:22" s="157" customFormat="1" ht="14.25">
      <c r="A156" s="86" t="s">
        <v>607</v>
      </c>
      <c r="B156" s="380" t="s">
        <v>836</v>
      </c>
      <c r="C156" s="381" t="s">
        <v>864</v>
      </c>
      <c r="D156" s="213" t="s">
        <v>28</v>
      </c>
      <c r="E156" s="382">
        <v>25.5</v>
      </c>
      <c r="F156" s="54"/>
      <c r="G156" s="54"/>
      <c r="H156" s="54"/>
      <c r="I156" s="54"/>
      <c r="J156" s="54"/>
      <c r="K156" s="54"/>
      <c r="L156" s="90"/>
      <c r="M156" s="90"/>
      <c r="N156" s="384"/>
      <c r="O156" s="361"/>
      <c r="P156" s="383"/>
      <c r="Q156" s="90"/>
      <c r="R156" s="90"/>
      <c r="S156" s="90"/>
      <c r="T156" s="90"/>
    </row>
    <row r="157" spans="1:22">
      <c r="A157" s="511" t="s">
        <v>139</v>
      </c>
      <c r="B157" s="512"/>
      <c r="C157" s="512"/>
      <c r="D157" s="512"/>
      <c r="E157" s="512"/>
      <c r="F157" s="512"/>
      <c r="G157" s="512"/>
      <c r="H157" s="512"/>
      <c r="I157" s="513"/>
      <c r="J157" s="156"/>
      <c r="K157" s="151"/>
      <c r="L157" s="114"/>
      <c r="M157" s="114"/>
      <c r="N157" s="384"/>
      <c r="O157" s="361"/>
      <c r="P157" s="372"/>
      <c r="Q157" s="114"/>
      <c r="R157" s="114"/>
      <c r="S157" s="114"/>
      <c r="T157" s="114"/>
      <c r="U157" s="155"/>
      <c r="V157" s="155"/>
    </row>
    <row r="158" spans="1:22" s="152" customFormat="1" ht="14.25">
      <c r="A158" s="119" t="s">
        <v>113</v>
      </c>
      <c r="B158" s="517" t="s">
        <v>114</v>
      </c>
      <c r="C158" s="518"/>
      <c r="D158" s="518"/>
      <c r="E158" s="518"/>
      <c r="F158" s="518"/>
      <c r="G158" s="518"/>
      <c r="H158" s="518"/>
      <c r="I158" s="518"/>
      <c r="J158" s="518"/>
      <c r="K158" s="519"/>
      <c r="L158" s="120"/>
      <c r="M158" s="121"/>
      <c r="N158" s="384"/>
      <c r="O158" s="387"/>
      <c r="P158" s="376"/>
      <c r="Q158" s="121"/>
      <c r="R158" s="121"/>
      <c r="S158" s="121"/>
      <c r="T158" s="121"/>
      <c r="U158" s="121"/>
      <c r="V158" s="121"/>
    </row>
    <row r="159" spans="1:22" s="154" customFormat="1" ht="14.25">
      <c r="A159" s="124" t="s">
        <v>115</v>
      </c>
      <c r="B159" s="180">
        <v>72075</v>
      </c>
      <c r="C159" s="183" t="s">
        <v>342</v>
      </c>
      <c r="D159" s="182" t="s">
        <v>29</v>
      </c>
      <c r="E159" s="117">
        <f>E176+12.63+12.63+1.44+1.44+8.21</f>
        <v>208.19749999999999</v>
      </c>
      <c r="F159" s="183"/>
      <c r="G159" s="47"/>
      <c r="H159" s="183"/>
      <c r="I159" s="47"/>
      <c r="J159" s="47"/>
      <c r="K159" s="47"/>
      <c r="L159" s="120"/>
      <c r="M159" s="121"/>
      <c r="N159" s="384"/>
      <c r="O159" s="387"/>
      <c r="P159" s="372"/>
      <c r="Q159" s="121"/>
      <c r="R159" s="121"/>
      <c r="S159" s="121"/>
      <c r="T159" s="121"/>
      <c r="U159" s="121"/>
      <c r="V159" s="121"/>
    </row>
    <row r="160" spans="1:22" s="152" customFormat="1">
      <c r="A160" s="514" t="s">
        <v>117</v>
      </c>
      <c r="B160" s="515"/>
      <c r="C160" s="515"/>
      <c r="D160" s="515"/>
      <c r="E160" s="515"/>
      <c r="F160" s="515"/>
      <c r="G160" s="515"/>
      <c r="H160" s="515"/>
      <c r="I160" s="516"/>
      <c r="J160" s="156"/>
      <c r="K160" s="156"/>
      <c r="L160" s="153"/>
      <c r="M160" s="121"/>
      <c r="N160" s="384"/>
      <c r="O160" s="387"/>
      <c r="P160" s="372"/>
      <c r="Q160" s="121"/>
      <c r="R160" s="121"/>
      <c r="S160" s="121"/>
      <c r="T160" s="121"/>
      <c r="U160" s="121"/>
      <c r="V160" s="121"/>
    </row>
    <row r="161" spans="1:22" ht="14.25">
      <c r="A161" s="113" t="s">
        <v>140</v>
      </c>
      <c r="B161" s="526" t="s">
        <v>118</v>
      </c>
      <c r="C161" s="527"/>
      <c r="D161" s="527"/>
      <c r="E161" s="527"/>
      <c r="F161" s="527"/>
      <c r="G161" s="527"/>
      <c r="H161" s="527"/>
      <c r="I161" s="527"/>
      <c r="J161" s="527"/>
      <c r="K161" s="528"/>
      <c r="L161" s="114"/>
      <c r="M161" s="114"/>
      <c r="N161" s="384"/>
      <c r="O161" s="387"/>
      <c r="P161" s="372"/>
      <c r="Q161" s="114"/>
      <c r="R161" s="114"/>
      <c r="S161" s="114"/>
      <c r="T161" s="114"/>
      <c r="U161" s="155"/>
      <c r="V161" s="155"/>
    </row>
    <row r="162" spans="1:22" s="155" customFormat="1" ht="14.25">
      <c r="A162" s="126" t="s">
        <v>380</v>
      </c>
      <c r="B162" s="126"/>
      <c r="C162" s="97" t="s">
        <v>304</v>
      </c>
      <c r="D162" s="92" t="s">
        <v>27</v>
      </c>
      <c r="E162" s="95">
        <v>3</v>
      </c>
      <c r="F162" s="95"/>
      <c r="G162" s="95"/>
      <c r="H162" s="95"/>
      <c r="I162" s="95"/>
      <c r="J162" s="47"/>
      <c r="K162" s="47"/>
      <c r="L162" s="114"/>
      <c r="M162" s="114"/>
      <c r="N162" s="384"/>
      <c r="O162" s="387"/>
      <c r="P162" s="372"/>
      <c r="Q162" s="114"/>
      <c r="R162" s="114"/>
      <c r="S162" s="114"/>
      <c r="T162" s="114"/>
    </row>
    <row r="163" spans="1:22" s="155" customFormat="1" ht="14.25">
      <c r="A163" s="126" t="s">
        <v>381</v>
      </c>
      <c r="B163" s="126"/>
      <c r="C163" s="97" t="s">
        <v>305</v>
      </c>
      <c r="D163" s="92" t="s">
        <v>27</v>
      </c>
      <c r="E163" s="95">
        <v>3</v>
      </c>
      <c r="F163" s="95"/>
      <c r="G163" s="95"/>
      <c r="H163" s="95"/>
      <c r="I163" s="95"/>
      <c r="J163" s="47"/>
      <c r="K163" s="47"/>
      <c r="L163" s="114"/>
      <c r="M163" s="114"/>
      <c r="N163" s="384"/>
      <c r="O163" s="387"/>
      <c r="P163" s="372"/>
      <c r="Q163" s="114"/>
      <c r="R163" s="114"/>
      <c r="S163" s="114"/>
      <c r="T163" s="114"/>
    </row>
    <row r="164" spans="1:22" s="155" customFormat="1" ht="24">
      <c r="A164" s="126" t="s">
        <v>384</v>
      </c>
      <c r="B164" s="126"/>
      <c r="C164" s="97" t="s">
        <v>306</v>
      </c>
      <c r="D164" s="92" t="s">
        <v>27</v>
      </c>
      <c r="E164" s="95">
        <v>1</v>
      </c>
      <c r="F164" s="95"/>
      <c r="G164" s="95"/>
      <c r="H164" s="95"/>
      <c r="I164" s="95"/>
      <c r="J164" s="47"/>
      <c r="K164" s="47"/>
      <c r="L164" s="114"/>
      <c r="M164" s="114"/>
      <c r="N164" s="384"/>
      <c r="O164" s="387"/>
      <c r="P164" s="372"/>
      <c r="Q164" s="114"/>
      <c r="R164" s="114"/>
      <c r="S164" s="114"/>
      <c r="T164" s="114"/>
    </row>
    <row r="165" spans="1:22" s="155" customFormat="1" ht="14.25">
      <c r="A165" s="126" t="s">
        <v>408</v>
      </c>
      <c r="B165" s="126"/>
      <c r="C165" s="97" t="s">
        <v>307</v>
      </c>
      <c r="D165" s="92" t="s">
        <v>28</v>
      </c>
      <c r="E165" s="95">
        <v>10</v>
      </c>
      <c r="F165" s="95"/>
      <c r="G165" s="95"/>
      <c r="H165" s="95"/>
      <c r="I165" s="95"/>
      <c r="J165" s="47"/>
      <c r="K165" s="47"/>
      <c r="L165" s="114"/>
      <c r="M165" s="114"/>
      <c r="N165" s="384"/>
      <c r="O165" s="387"/>
      <c r="P165" s="372"/>
      <c r="Q165" s="114"/>
      <c r="R165" s="114"/>
      <c r="S165" s="114"/>
      <c r="T165" s="114"/>
    </row>
    <row r="166" spans="1:22" s="155" customFormat="1" ht="14.25">
      <c r="A166" s="126" t="s">
        <v>409</v>
      </c>
      <c r="B166" s="126"/>
      <c r="C166" s="97" t="s">
        <v>308</v>
      </c>
      <c r="D166" s="92" t="s">
        <v>27</v>
      </c>
      <c r="E166" s="95">
        <v>1</v>
      </c>
      <c r="F166" s="95"/>
      <c r="G166" s="95"/>
      <c r="H166" s="95"/>
      <c r="I166" s="95"/>
      <c r="J166" s="47"/>
      <c r="K166" s="47"/>
      <c r="L166" s="114"/>
      <c r="M166" s="114"/>
      <c r="N166" s="362"/>
      <c r="O166" s="387"/>
      <c r="P166" s="372"/>
      <c r="Q166" s="114"/>
      <c r="R166" s="114"/>
      <c r="S166" s="114"/>
      <c r="T166" s="114"/>
    </row>
    <row r="167" spans="1:22" s="155" customFormat="1" ht="14.25">
      <c r="A167" s="126" t="s">
        <v>410</v>
      </c>
      <c r="B167" s="126"/>
      <c r="C167" s="97" t="s">
        <v>309</v>
      </c>
      <c r="D167" s="92" t="s">
        <v>27</v>
      </c>
      <c r="E167" s="95">
        <v>1</v>
      </c>
      <c r="F167" s="95"/>
      <c r="G167" s="95"/>
      <c r="H167" s="95"/>
      <c r="I167" s="95"/>
      <c r="J167" s="47"/>
      <c r="K167" s="47"/>
      <c r="L167" s="114"/>
      <c r="M167" s="114"/>
      <c r="N167" s="384"/>
      <c r="O167" s="387"/>
      <c r="P167" s="372"/>
      <c r="Q167" s="114"/>
      <c r="R167" s="114"/>
      <c r="S167" s="114"/>
      <c r="T167" s="114"/>
    </row>
    <row r="168" spans="1:22" s="155" customFormat="1" ht="14.25">
      <c r="A168" s="126" t="s">
        <v>411</v>
      </c>
      <c r="B168" s="182" t="s">
        <v>252</v>
      </c>
      <c r="C168" s="97" t="s">
        <v>513</v>
      </c>
      <c r="D168" s="92" t="s">
        <v>27</v>
      </c>
      <c r="E168" s="95">
        <v>4</v>
      </c>
      <c r="F168" s="95"/>
      <c r="G168" s="95"/>
      <c r="H168" s="95"/>
      <c r="I168" s="95"/>
      <c r="J168" s="47"/>
      <c r="K168" s="47"/>
      <c r="L168" s="114"/>
      <c r="M168" s="114"/>
      <c r="N168" s="384"/>
      <c r="O168" s="387"/>
      <c r="P168" s="372"/>
      <c r="Q168" s="114"/>
      <c r="R168" s="114"/>
      <c r="S168" s="114"/>
      <c r="T168" s="114"/>
    </row>
    <row r="169" spans="1:22" s="155" customFormat="1" ht="14.25">
      <c r="A169" s="126" t="s">
        <v>474</v>
      </c>
      <c r="B169" s="126"/>
      <c r="C169" s="49" t="s">
        <v>310</v>
      </c>
      <c r="D169" s="92" t="s">
        <v>27</v>
      </c>
      <c r="E169" s="47">
        <v>6</v>
      </c>
      <c r="F169" s="47"/>
      <c r="G169" s="95"/>
      <c r="H169" s="47"/>
      <c r="I169" s="95"/>
      <c r="J169" s="47"/>
      <c r="K169" s="47"/>
      <c r="L169" s="114"/>
      <c r="M169" s="114"/>
      <c r="N169" s="384"/>
      <c r="O169" s="387"/>
      <c r="P169" s="372"/>
      <c r="Q169" s="114"/>
      <c r="R169" s="114"/>
      <c r="S169" s="114"/>
      <c r="T169" s="114"/>
    </row>
    <row r="170" spans="1:22">
      <c r="A170" s="511" t="s">
        <v>141</v>
      </c>
      <c r="B170" s="512"/>
      <c r="C170" s="512"/>
      <c r="D170" s="512"/>
      <c r="E170" s="512"/>
      <c r="F170" s="512"/>
      <c r="G170" s="512"/>
      <c r="H170" s="512"/>
      <c r="I170" s="513"/>
      <c r="J170" s="156"/>
      <c r="K170" s="151"/>
      <c r="M170" s="155"/>
      <c r="N170" s="362"/>
      <c r="O170" s="387"/>
      <c r="P170" s="372"/>
      <c r="Q170" s="155"/>
      <c r="R170" s="155"/>
      <c r="S170" s="155"/>
      <c r="T170" s="155"/>
      <c r="U170" s="155"/>
      <c r="V170" s="155"/>
    </row>
    <row r="171" spans="1:22" ht="14.25">
      <c r="A171" s="113" t="s">
        <v>142</v>
      </c>
      <c r="B171" s="526" t="s">
        <v>7</v>
      </c>
      <c r="C171" s="527"/>
      <c r="D171" s="527"/>
      <c r="E171" s="527"/>
      <c r="F171" s="527"/>
      <c r="G171" s="527"/>
      <c r="H171" s="527"/>
      <c r="I171" s="527"/>
      <c r="J171" s="527"/>
      <c r="K171" s="528"/>
      <c r="L171" s="114"/>
      <c r="M171" s="114"/>
      <c r="N171" s="386"/>
      <c r="O171" s="361"/>
      <c r="P171" s="372"/>
      <c r="Q171" s="114"/>
      <c r="R171" s="114"/>
      <c r="S171" s="114"/>
      <c r="T171" s="114"/>
      <c r="U171" s="155"/>
      <c r="V171" s="155"/>
    </row>
    <row r="172" spans="1:22" s="155" customFormat="1" ht="24">
      <c r="A172" s="125" t="s">
        <v>143</v>
      </c>
      <c r="B172" s="180">
        <v>5974</v>
      </c>
      <c r="C172" s="167" t="s">
        <v>209</v>
      </c>
      <c r="D172" s="165" t="s">
        <v>29</v>
      </c>
      <c r="E172" s="117">
        <f>(E50+E51+E52)*2</f>
        <v>1254.7431999999999</v>
      </c>
      <c r="F172" s="117"/>
      <c r="G172" s="117"/>
      <c r="H172" s="117"/>
      <c r="I172" s="117"/>
      <c r="J172" s="117"/>
      <c r="K172" s="117"/>
      <c r="L172" s="114"/>
      <c r="M172" s="114"/>
      <c r="N172" s="386"/>
      <c r="O172" s="361"/>
      <c r="P172" s="372"/>
      <c r="Q172" s="114"/>
      <c r="R172" s="114"/>
      <c r="S172" s="114"/>
      <c r="T172" s="114"/>
    </row>
    <row r="173" spans="1:22" s="155" customFormat="1" ht="24">
      <c r="A173" s="125" t="s">
        <v>144</v>
      </c>
      <c r="B173" s="180">
        <v>5975</v>
      </c>
      <c r="C173" s="167" t="s">
        <v>210</v>
      </c>
      <c r="D173" s="165" t="s">
        <v>29</v>
      </c>
      <c r="E173" s="117">
        <f>E13</f>
        <v>370.04</v>
      </c>
      <c r="F173" s="117"/>
      <c r="G173" s="117"/>
      <c r="H173" s="117"/>
      <c r="I173" s="117"/>
      <c r="J173" s="117"/>
      <c r="K173" s="117"/>
      <c r="L173" s="114"/>
      <c r="M173" s="114"/>
      <c r="N173" s="388"/>
      <c r="O173" s="361"/>
      <c r="P173" s="372"/>
      <c r="Q173" s="114"/>
      <c r="R173" s="114"/>
      <c r="S173" s="114"/>
      <c r="T173" s="114"/>
    </row>
    <row r="174" spans="1:22" s="155" customFormat="1" ht="24">
      <c r="A174" s="125" t="s">
        <v>145</v>
      </c>
      <c r="B174" s="180">
        <v>5982</v>
      </c>
      <c r="C174" s="167" t="s">
        <v>211</v>
      </c>
      <c r="D174" s="165" t="s">
        <v>29</v>
      </c>
      <c r="E174" s="117">
        <f>E173</f>
        <v>370.04</v>
      </c>
      <c r="F174" s="117"/>
      <c r="G174" s="117"/>
      <c r="H174" s="117"/>
      <c r="I174" s="117"/>
      <c r="J174" s="117"/>
      <c r="K174" s="117"/>
      <c r="L174" s="114"/>
      <c r="M174" s="114"/>
      <c r="N174" s="386"/>
      <c r="O174" s="361"/>
      <c r="P174" s="373"/>
      <c r="Q174" s="114"/>
      <c r="R174" s="114"/>
      <c r="S174" s="114"/>
      <c r="T174" s="114"/>
    </row>
    <row r="175" spans="1:22" s="155" customFormat="1" ht="24">
      <c r="A175" s="125" t="s">
        <v>146</v>
      </c>
      <c r="B175" s="180">
        <v>5992</v>
      </c>
      <c r="C175" s="167" t="s">
        <v>212</v>
      </c>
      <c r="D175" s="165" t="s">
        <v>29</v>
      </c>
      <c r="E175" s="117">
        <f>E172</f>
        <v>1254.7431999999999</v>
      </c>
      <c r="F175" s="117"/>
      <c r="G175" s="117"/>
      <c r="H175" s="117"/>
      <c r="I175" s="117"/>
      <c r="J175" s="117"/>
      <c r="K175" s="117"/>
      <c r="L175" s="114"/>
      <c r="M175" s="114"/>
      <c r="N175" s="384"/>
      <c r="O175" s="361"/>
      <c r="P175" s="374"/>
      <c r="Q175" s="114"/>
      <c r="R175" s="114"/>
      <c r="S175" s="114"/>
      <c r="T175" s="114"/>
    </row>
    <row r="176" spans="1:22" s="155" customFormat="1" ht="24">
      <c r="A176" s="125" t="s">
        <v>149</v>
      </c>
      <c r="B176" s="180" t="s">
        <v>213</v>
      </c>
      <c r="C176" s="167" t="s">
        <v>214</v>
      </c>
      <c r="D176" s="165" t="s">
        <v>29</v>
      </c>
      <c r="E176" s="117">
        <f>(((2.85*(14.92+3.33))*2)+(4.5*11.6))*1.1</f>
        <v>171.8475</v>
      </c>
      <c r="F176" s="117"/>
      <c r="G176" s="117"/>
      <c r="H176" s="117"/>
      <c r="I176" s="117"/>
      <c r="J176" s="117"/>
      <c r="K176" s="117"/>
      <c r="L176" s="114"/>
      <c r="M176" s="114"/>
      <c r="N176" s="384"/>
      <c r="O176" s="361"/>
      <c r="P176" s="378"/>
      <c r="Q176" s="114"/>
      <c r="R176" s="114"/>
      <c r="S176" s="114"/>
      <c r="T176" s="114"/>
    </row>
    <row r="177" spans="1:21" s="155" customFormat="1" ht="14.25">
      <c r="A177" s="125" t="s">
        <v>150</v>
      </c>
      <c r="B177" s="180">
        <v>72200</v>
      </c>
      <c r="C177" s="167" t="s">
        <v>660</v>
      </c>
      <c r="D177" s="165" t="s">
        <v>29</v>
      </c>
      <c r="E177" s="117">
        <f>35.75*3.35</f>
        <v>119.7625</v>
      </c>
      <c r="F177" s="117"/>
      <c r="G177" s="117"/>
      <c r="H177" s="117"/>
      <c r="I177" s="117"/>
      <c r="J177" s="117"/>
      <c r="K177" s="117"/>
      <c r="L177" s="114"/>
      <c r="M177" s="114"/>
      <c r="N177" s="114"/>
      <c r="O177" s="368"/>
      <c r="P177" s="378"/>
      <c r="Q177" s="114"/>
      <c r="R177" s="114"/>
      <c r="S177" s="114"/>
      <c r="T177" s="114"/>
    </row>
    <row r="178" spans="1:21" s="155" customFormat="1" ht="14.25" customHeight="1">
      <c r="A178" s="125" t="s">
        <v>382</v>
      </c>
      <c r="B178" s="180">
        <v>9536</v>
      </c>
      <c r="C178" s="167" t="s">
        <v>507</v>
      </c>
      <c r="D178" s="165" t="s">
        <v>29</v>
      </c>
      <c r="E178" s="117">
        <f>(0.8*3.7)*1.005</f>
        <v>2.9748000000000001</v>
      </c>
      <c r="F178" s="117"/>
      <c r="G178" s="117"/>
      <c r="H178" s="117"/>
      <c r="I178" s="117"/>
      <c r="J178" s="117"/>
      <c r="K178" s="117"/>
      <c r="L178" s="114"/>
      <c r="M178" s="114"/>
      <c r="N178" s="114"/>
      <c r="O178" s="368"/>
      <c r="P178" s="378"/>
      <c r="Q178" s="114"/>
      <c r="R178" s="114"/>
      <c r="S178" s="114"/>
      <c r="T178" s="114"/>
    </row>
    <row r="179" spans="1:21" s="155" customFormat="1" ht="14.25" customHeight="1">
      <c r="A179" s="125" t="s">
        <v>383</v>
      </c>
      <c r="B179" s="197" t="s">
        <v>840</v>
      </c>
      <c r="C179" s="58" t="s">
        <v>841</v>
      </c>
      <c r="D179" s="50" t="s">
        <v>29</v>
      </c>
      <c r="E179" s="47">
        <v>344.84</v>
      </c>
      <c r="F179" s="117"/>
      <c r="G179" s="117"/>
      <c r="H179" s="117"/>
      <c r="I179" s="117"/>
      <c r="J179" s="117"/>
      <c r="K179" s="117"/>
      <c r="L179" s="114"/>
      <c r="M179" s="114"/>
      <c r="N179" s="114"/>
      <c r="O179" s="371"/>
      <c r="P179" s="374"/>
      <c r="Q179" s="114"/>
      <c r="R179" s="114"/>
      <c r="S179" s="114"/>
      <c r="T179" s="114"/>
    </row>
    <row r="180" spans="1:21" s="155" customFormat="1" ht="24" customHeight="1">
      <c r="A180" s="125" t="s">
        <v>388</v>
      </c>
      <c r="B180" s="180" t="s">
        <v>215</v>
      </c>
      <c r="C180" s="181" t="s">
        <v>216</v>
      </c>
      <c r="D180" s="165" t="s">
        <v>29</v>
      </c>
      <c r="E180" s="117">
        <f>(((12.63+5.3+1.44)*2)+8.21+8.04)*1.1</f>
        <v>60.489000000000004</v>
      </c>
      <c r="F180" s="117"/>
      <c r="G180" s="117"/>
      <c r="H180" s="117"/>
      <c r="I180" s="117"/>
      <c r="J180" s="117"/>
      <c r="K180" s="117"/>
      <c r="L180" s="114"/>
      <c r="M180" s="114"/>
      <c r="N180" s="114"/>
      <c r="O180" s="368"/>
      <c r="P180" s="378"/>
      <c r="Q180" s="114"/>
      <c r="R180" s="114"/>
      <c r="S180" s="114"/>
      <c r="T180" s="114"/>
    </row>
    <row r="181" spans="1:21" s="155" customFormat="1" ht="24">
      <c r="A181" s="125" t="s">
        <v>475</v>
      </c>
      <c r="B181" s="180" t="s">
        <v>502</v>
      </c>
      <c r="C181" s="235" t="s">
        <v>503</v>
      </c>
      <c r="D181" s="165" t="s">
        <v>29</v>
      </c>
      <c r="E181" s="117">
        <f>(24.66+62.42+16.75+24.66+2.44+2.44+68.46)*1.1</f>
        <v>222.01300000000001</v>
      </c>
      <c r="F181" s="117"/>
      <c r="G181" s="117"/>
      <c r="H181" s="117"/>
      <c r="I181" s="117"/>
      <c r="J181" s="117"/>
      <c r="K181" s="117"/>
      <c r="L181" s="114"/>
      <c r="M181" s="114"/>
      <c r="N181" s="114"/>
      <c r="O181" s="368"/>
      <c r="P181" s="378"/>
      <c r="Q181" s="114"/>
      <c r="R181" s="114"/>
      <c r="S181" s="114"/>
      <c r="T181" s="114"/>
    </row>
    <row r="182" spans="1:21" s="155" customFormat="1" ht="14.25">
      <c r="A182" s="125" t="s">
        <v>504</v>
      </c>
      <c r="B182" s="180">
        <v>10710</v>
      </c>
      <c r="C182" s="236" t="s">
        <v>508</v>
      </c>
      <c r="D182" s="165" t="s">
        <v>29</v>
      </c>
      <c r="E182" s="117">
        <f>(85.86+(10*0.05)+(35.75*0.08))*1.1</f>
        <v>98.14200000000001</v>
      </c>
      <c r="F182" s="117"/>
      <c r="G182" s="117"/>
      <c r="H182" s="117"/>
      <c r="I182" s="117"/>
      <c r="J182" s="117"/>
      <c r="K182" s="117"/>
      <c r="L182" s="114"/>
      <c r="M182" s="114"/>
      <c r="N182" s="114"/>
      <c r="O182" s="368"/>
      <c r="P182" s="378"/>
      <c r="Q182" s="114"/>
      <c r="R182" s="114"/>
      <c r="S182" s="114"/>
      <c r="T182" s="114"/>
    </row>
    <row r="183" spans="1:21" s="155" customFormat="1" ht="14.25">
      <c r="A183" s="125" t="s">
        <v>505</v>
      </c>
      <c r="B183" s="180" t="s">
        <v>217</v>
      </c>
      <c r="C183" s="193" t="s">
        <v>218</v>
      </c>
      <c r="D183" s="165" t="s">
        <v>28</v>
      </c>
      <c r="E183" s="117">
        <f>((3.53*4)+(1.5*3)+(2.8*2))*1.1</f>
        <v>26.641999999999999</v>
      </c>
      <c r="F183" s="117"/>
      <c r="G183" s="117"/>
      <c r="H183" s="117"/>
      <c r="I183" s="117"/>
      <c r="J183" s="117"/>
      <c r="K183" s="117"/>
      <c r="L183" s="114"/>
      <c r="M183" s="114"/>
      <c r="N183" s="114"/>
      <c r="O183" s="368"/>
      <c r="P183" s="378"/>
      <c r="Q183" s="114"/>
      <c r="R183" s="114"/>
      <c r="S183" s="114"/>
      <c r="T183" s="114"/>
    </row>
    <row r="184" spans="1:21" s="155" customFormat="1" ht="14.25">
      <c r="A184" s="125" t="s">
        <v>506</v>
      </c>
      <c r="B184" s="180" t="s">
        <v>219</v>
      </c>
      <c r="C184" s="194" t="s">
        <v>220</v>
      </c>
      <c r="D184" s="165" t="s">
        <v>28</v>
      </c>
      <c r="E184" s="117">
        <f>((0.8*5)+(1*6)+(3.6*2)+(6.91))*1.1</f>
        <v>26.521000000000001</v>
      </c>
      <c r="F184" s="117"/>
      <c r="G184" s="117"/>
      <c r="H184" s="117"/>
      <c r="I184" s="117"/>
      <c r="J184" s="117"/>
      <c r="K184" s="117"/>
      <c r="L184" s="114"/>
      <c r="M184" s="114"/>
      <c r="N184" s="114"/>
      <c r="O184" s="368"/>
      <c r="P184" s="378"/>
      <c r="Q184" s="114"/>
      <c r="R184" s="114"/>
      <c r="S184" s="114"/>
      <c r="T184" s="114"/>
    </row>
    <row r="185" spans="1:21" s="157" customFormat="1" ht="24">
      <c r="A185" s="125" t="s">
        <v>517</v>
      </c>
      <c r="B185" s="329" t="s">
        <v>518</v>
      </c>
      <c r="C185" s="330" t="s">
        <v>519</v>
      </c>
      <c r="D185" s="213" t="s">
        <v>28</v>
      </c>
      <c r="E185" s="54">
        <f>2.1+2.1+(3.21*2)+2.55</f>
        <v>13.170000000000002</v>
      </c>
      <c r="F185" s="54"/>
      <c r="G185" s="54"/>
      <c r="H185" s="54"/>
      <c r="I185" s="54"/>
      <c r="J185" s="54"/>
      <c r="K185" s="54"/>
      <c r="L185" s="90"/>
      <c r="M185" s="90"/>
      <c r="N185" s="90"/>
      <c r="O185" s="368"/>
      <c r="P185" s="378"/>
      <c r="Q185" s="90"/>
      <c r="R185" s="90"/>
      <c r="S185" s="90"/>
      <c r="T185" s="90"/>
    </row>
    <row r="186" spans="1:21" s="155" customFormat="1" ht="24.95" customHeight="1">
      <c r="A186" s="125" t="s">
        <v>839</v>
      </c>
      <c r="B186" s="180" t="s">
        <v>221</v>
      </c>
      <c r="C186" s="167" t="s">
        <v>222</v>
      </c>
      <c r="D186" s="165" t="s">
        <v>28</v>
      </c>
      <c r="E186" s="117">
        <f>((17.3*2)+11.5+11.6+16.7+38+(14.92*2)+(10.06*2))*1.1</f>
        <v>178.59600000000003</v>
      </c>
      <c r="F186" s="117"/>
      <c r="G186" s="117"/>
      <c r="H186" s="117"/>
      <c r="I186" s="117"/>
      <c r="J186" s="117"/>
      <c r="K186" s="117"/>
      <c r="L186" s="114"/>
      <c r="M186" s="114"/>
      <c r="N186" s="114"/>
      <c r="O186" s="368"/>
      <c r="P186" s="379"/>
      <c r="Q186" s="114"/>
      <c r="R186" s="114"/>
      <c r="S186" s="114"/>
      <c r="T186" s="114"/>
    </row>
    <row r="187" spans="1:21" ht="14.25">
      <c r="A187" s="511" t="s">
        <v>151</v>
      </c>
      <c r="B187" s="512"/>
      <c r="C187" s="512"/>
      <c r="D187" s="512"/>
      <c r="E187" s="512"/>
      <c r="F187" s="512"/>
      <c r="G187" s="512"/>
      <c r="H187" s="512"/>
      <c r="I187" s="513"/>
      <c r="J187" s="115"/>
      <c r="K187" s="115"/>
      <c r="L187" s="118"/>
      <c r="M187" s="114"/>
      <c r="N187" s="114"/>
      <c r="O187" s="368"/>
      <c r="P187" s="379"/>
      <c r="Q187" s="114"/>
      <c r="R187" s="114"/>
      <c r="S187" s="114"/>
      <c r="T187" s="114"/>
      <c r="U187" s="155"/>
    </row>
    <row r="188" spans="1:21" s="152" customFormat="1" ht="14.25">
      <c r="A188" s="119" t="s">
        <v>132</v>
      </c>
      <c r="B188" s="517" t="s">
        <v>133</v>
      </c>
      <c r="C188" s="518"/>
      <c r="D188" s="518"/>
      <c r="E188" s="518"/>
      <c r="F188" s="518"/>
      <c r="G188" s="518"/>
      <c r="H188" s="518"/>
      <c r="I188" s="518"/>
      <c r="J188" s="518"/>
      <c r="K188" s="519"/>
      <c r="L188" s="120"/>
      <c r="M188" s="121"/>
      <c r="N188" s="121"/>
      <c r="O188" s="368"/>
      <c r="P188" s="378"/>
      <c r="Q188" s="121"/>
      <c r="R188" s="121"/>
      <c r="S188" s="121"/>
      <c r="T188" s="121"/>
      <c r="U188" s="121"/>
    </row>
    <row r="189" spans="1:21" s="154" customFormat="1" ht="14.25">
      <c r="A189" s="124" t="s">
        <v>134</v>
      </c>
      <c r="B189" s="197">
        <v>72123</v>
      </c>
      <c r="C189" s="183" t="s">
        <v>223</v>
      </c>
      <c r="D189" s="182" t="s">
        <v>29</v>
      </c>
      <c r="E189" s="117">
        <v>42.23</v>
      </c>
      <c r="F189" s="117"/>
      <c r="G189" s="117"/>
      <c r="H189" s="117"/>
      <c r="I189" s="117"/>
      <c r="J189" s="117"/>
      <c r="K189" s="117"/>
      <c r="L189" s="120"/>
      <c r="M189" s="121"/>
      <c r="N189" s="121"/>
      <c r="O189" s="368"/>
      <c r="P189" s="378"/>
      <c r="Q189" s="121"/>
      <c r="R189" s="121"/>
      <c r="S189" s="121"/>
      <c r="T189" s="121"/>
      <c r="U189" s="121"/>
    </row>
    <row r="190" spans="1:21" s="154" customFormat="1" ht="14.25">
      <c r="A190" s="124" t="s">
        <v>135</v>
      </c>
      <c r="B190" s="197">
        <v>72120</v>
      </c>
      <c r="C190" s="183" t="s">
        <v>224</v>
      </c>
      <c r="D190" s="182" t="s">
        <v>29</v>
      </c>
      <c r="E190" s="117">
        <f>E59-E189</f>
        <v>50.49</v>
      </c>
      <c r="F190" s="117"/>
      <c r="G190" s="117"/>
      <c r="H190" s="117"/>
      <c r="I190" s="117"/>
      <c r="J190" s="117"/>
      <c r="K190" s="117"/>
      <c r="L190" s="120"/>
      <c r="M190" s="121"/>
      <c r="N190" s="121"/>
      <c r="O190" s="368"/>
      <c r="P190" s="378"/>
      <c r="Q190" s="121"/>
      <c r="R190" s="121"/>
      <c r="S190" s="121"/>
      <c r="T190" s="121"/>
      <c r="U190" s="121"/>
    </row>
    <row r="191" spans="1:21" s="154" customFormat="1" ht="14.25">
      <c r="A191" s="124" t="s">
        <v>136</v>
      </c>
      <c r="B191" s="197">
        <v>72116</v>
      </c>
      <c r="C191" s="183" t="s">
        <v>225</v>
      </c>
      <c r="D191" s="182" t="s">
        <v>29</v>
      </c>
      <c r="E191" s="117">
        <f>0.2*0.9*E68</f>
        <v>1.08</v>
      </c>
      <c r="F191" s="117"/>
      <c r="G191" s="117"/>
      <c r="H191" s="117"/>
      <c r="I191" s="117"/>
      <c r="J191" s="117"/>
      <c r="K191" s="117"/>
      <c r="L191" s="120"/>
      <c r="M191" s="121"/>
      <c r="N191" s="121"/>
      <c r="O191" s="368"/>
      <c r="P191" s="378"/>
      <c r="Q191" s="121"/>
      <c r="R191" s="121"/>
      <c r="S191" s="121"/>
      <c r="T191" s="121"/>
      <c r="U191" s="121"/>
    </row>
    <row r="192" spans="1:21" s="154" customFormat="1">
      <c r="A192" s="124" t="s">
        <v>226</v>
      </c>
      <c r="B192" s="211">
        <v>72122</v>
      </c>
      <c r="C192" s="200" t="s">
        <v>689</v>
      </c>
      <c r="D192" s="182" t="s">
        <v>29</v>
      </c>
      <c r="E192" s="117">
        <f>3.5*0.6*E71</f>
        <v>8.4</v>
      </c>
      <c r="F192" s="117"/>
      <c r="G192" s="117"/>
      <c r="H192" s="117"/>
      <c r="I192" s="117"/>
      <c r="J192" s="117"/>
      <c r="K192" s="117"/>
      <c r="L192" s="120"/>
      <c r="M192" s="121"/>
      <c r="N192" s="121"/>
      <c r="O192" s="368"/>
      <c r="P192" s="378"/>
      <c r="Q192" s="121"/>
      <c r="R192" s="121"/>
      <c r="S192" s="121"/>
      <c r="T192" s="121"/>
      <c r="U192" s="121"/>
    </row>
    <row r="193" spans="1:22" s="154" customFormat="1" ht="14.25">
      <c r="A193" s="124" t="s">
        <v>228</v>
      </c>
      <c r="B193" s="197">
        <v>72116</v>
      </c>
      <c r="C193" s="183" t="s">
        <v>229</v>
      </c>
      <c r="D193" s="182" t="s">
        <v>29</v>
      </c>
      <c r="E193" s="117">
        <f>1.5*0.6*E72</f>
        <v>0.89999999999999991</v>
      </c>
      <c r="F193" s="117"/>
      <c r="G193" s="117"/>
      <c r="H193" s="117"/>
      <c r="I193" s="117"/>
      <c r="J193" s="117"/>
      <c r="K193" s="117"/>
      <c r="L193" s="120"/>
      <c r="M193" s="121"/>
      <c r="N193" s="121"/>
      <c r="O193" s="368"/>
      <c r="P193" s="378"/>
      <c r="Q193" s="121"/>
      <c r="R193" s="121"/>
      <c r="S193" s="121"/>
      <c r="T193" s="121"/>
      <c r="U193" s="121"/>
    </row>
    <row r="194" spans="1:22" s="154" customFormat="1" ht="14.25">
      <c r="A194" s="124" t="s">
        <v>230</v>
      </c>
      <c r="B194" s="197">
        <v>72116</v>
      </c>
      <c r="C194" s="183" t="s">
        <v>278</v>
      </c>
      <c r="D194" s="182" t="s">
        <v>29</v>
      </c>
      <c r="E194" s="117">
        <f>2.8*1.2*E73</f>
        <v>6.72</v>
      </c>
      <c r="F194" s="117"/>
      <c r="G194" s="117"/>
      <c r="H194" s="117"/>
      <c r="I194" s="117"/>
      <c r="J194" s="117"/>
      <c r="K194" s="117"/>
      <c r="L194" s="120"/>
      <c r="M194" s="121"/>
      <c r="N194" s="121"/>
      <c r="O194" s="368"/>
      <c r="P194" s="378"/>
      <c r="Q194" s="121"/>
      <c r="R194" s="121"/>
      <c r="S194" s="121"/>
      <c r="T194" s="121"/>
      <c r="U194" s="121"/>
    </row>
    <row r="195" spans="1:22" s="154" customFormat="1" ht="14.25">
      <c r="A195" s="124" t="s">
        <v>232</v>
      </c>
      <c r="B195" s="197">
        <v>72116</v>
      </c>
      <c r="C195" s="183" t="s">
        <v>233</v>
      </c>
      <c r="D195" s="182" t="s">
        <v>29</v>
      </c>
      <c r="E195" s="117">
        <f>1.5*2*E74</f>
        <v>6</v>
      </c>
      <c r="F195" s="117"/>
      <c r="G195" s="117"/>
      <c r="H195" s="117"/>
      <c r="I195" s="117"/>
      <c r="J195" s="117"/>
      <c r="K195" s="117"/>
      <c r="L195" s="120"/>
      <c r="M195" s="121"/>
      <c r="N195" s="121"/>
      <c r="O195" s="368"/>
      <c r="P195" s="378"/>
      <c r="Q195" s="121"/>
      <c r="R195" s="121"/>
      <c r="S195" s="121"/>
      <c r="T195" s="121"/>
      <c r="U195" s="121"/>
    </row>
    <row r="196" spans="1:22" s="152" customFormat="1" ht="14.25">
      <c r="A196" s="529" t="s">
        <v>137</v>
      </c>
      <c r="B196" s="530"/>
      <c r="C196" s="530"/>
      <c r="D196" s="530"/>
      <c r="E196" s="530"/>
      <c r="F196" s="530"/>
      <c r="G196" s="530"/>
      <c r="H196" s="530"/>
      <c r="I196" s="531"/>
      <c r="J196" s="115"/>
      <c r="K196" s="115"/>
      <c r="L196" s="153"/>
      <c r="M196" s="121"/>
      <c r="N196" s="121"/>
      <c r="O196" s="368"/>
      <c r="P196" s="378"/>
      <c r="Q196" s="121"/>
      <c r="R196" s="121"/>
      <c r="S196" s="121"/>
      <c r="T196" s="121"/>
      <c r="U196" s="121"/>
    </row>
    <row r="197" spans="1:22" s="155" customFormat="1" ht="14.25">
      <c r="A197" s="113" t="s">
        <v>152</v>
      </c>
      <c r="B197" s="520" t="s">
        <v>67</v>
      </c>
      <c r="C197" s="521"/>
      <c r="D197" s="521"/>
      <c r="E197" s="521"/>
      <c r="F197" s="521"/>
      <c r="G197" s="521"/>
      <c r="H197" s="521"/>
      <c r="I197" s="521"/>
      <c r="J197" s="521"/>
      <c r="K197" s="522"/>
      <c r="L197" s="118"/>
      <c r="M197" s="114"/>
      <c r="N197" s="114"/>
      <c r="O197" s="114"/>
      <c r="P197" s="114"/>
      <c r="Q197" s="114"/>
      <c r="R197" s="114"/>
      <c r="S197" s="114"/>
      <c r="T197" s="114"/>
    </row>
    <row r="198" spans="1:22" s="155" customFormat="1" ht="14.25">
      <c r="A198" s="125" t="s">
        <v>153</v>
      </c>
      <c r="B198" s="166" t="s">
        <v>234</v>
      </c>
      <c r="C198" s="76" t="s">
        <v>235</v>
      </c>
      <c r="D198" s="165" t="s">
        <v>29</v>
      </c>
      <c r="E198" s="117">
        <f>E172+E173-(E176/1.1)-E177+(1.26*4*4)</f>
        <v>1368.9557</v>
      </c>
      <c r="F198" s="117"/>
      <c r="G198" s="117"/>
      <c r="H198" s="117"/>
      <c r="I198" s="117"/>
      <c r="J198" s="117"/>
      <c r="K198" s="117"/>
      <c r="L198" s="114"/>
      <c r="M198" s="114"/>
      <c r="N198" s="114"/>
      <c r="O198" s="114"/>
      <c r="P198" s="114"/>
      <c r="Q198" s="114"/>
      <c r="R198" s="114"/>
      <c r="S198" s="114"/>
      <c r="T198" s="114"/>
    </row>
    <row r="199" spans="1:22" s="155" customFormat="1" ht="14.25">
      <c r="A199" s="125" t="s">
        <v>154</v>
      </c>
      <c r="B199" s="166" t="s">
        <v>236</v>
      </c>
      <c r="C199" s="76" t="s">
        <v>237</v>
      </c>
      <c r="D199" s="165" t="s">
        <v>29</v>
      </c>
      <c r="E199" s="117">
        <f>E198</f>
        <v>1368.9557</v>
      </c>
      <c r="F199" s="117"/>
      <c r="G199" s="117"/>
      <c r="H199" s="117"/>
      <c r="I199" s="117"/>
      <c r="J199" s="117"/>
      <c r="K199" s="117"/>
      <c r="L199" s="114"/>
      <c r="M199" s="114"/>
      <c r="N199" s="114"/>
      <c r="O199" s="114"/>
      <c r="P199" s="114"/>
      <c r="Q199" s="114"/>
      <c r="R199" s="114"/>
      <c r="S199" s="114"/>
      <c r="T199" s="114"/>
    </row>
    <row r="200" spans="1:22" s="155" customFormat="1" ht="14.25">
      <c r="A200" s="125" t="s">
        <v>155</v>
      </c>
      <c r="B200" s="166" t="s">
        <v>509</v>
      </c>
      <c r="C200" s="76" t="s">
        <v>510</v>
      </c>
      <c r="D200" s="165" t="s">
        <v>29</v>
      </c>
      <c r="E200" s="117">
        <f>E178*1.15</f>
        <v>3.4210199999999999</v>
      </c>
      <c r="F200" s="117"/>
      <c r="G200" s="117"/>
      <c r="H200" s="117"/>
      <c r="I200" s="117"/>
      <c r="J200" s="117"/>
      <c r="K200" s="117"/>
      <c r="L200" s="114"/>
      <c r="M200" s="114"/>
      <c r="N200" s="114"/>
      <c r="O200" s="114"/>
      <c r="P200" s="114"/>
      <c r="Q200" s="114"/>
      <c r="R200" s="114"/>
      <c r="S200" s="114"/>
      <c r="T200" s="114"/>
    </row>
    <row r="201" spans="1:22" s="155" customFormat="1" ht="14.25">
      <c r="A201" s="125" t="s">
        <v>476</v>
      </c>
      <c r="B201" s="180">
        <v>6082</v>
      </c>
      <c r="C201" s="76" t="s">
        <v>238</v>
      </c>
      <c r="D201" s="165" t="s">
        <v>29</v>
      </c>
      <c r="E201" s="117">
        <f>(0.8*2.1*3*4)+(1*2.1*3*6)+(0.8*2.1*3*1)</f>
        <v>63.000000000000007</v>
      </c>
      <c r="F201" s="117"/>
      <c r="G201" s="117"/>
      <c r="H201" s="117"/>
      <c r="I201" s="117"/>
      <c r="J201" s="117"/>
      <c r="K201" s="117"/>
      <c r="L201" s="114"/>
      <c r="M201" s="114"/>
      <c r="N201" s="114"/>
      <c r="O201" s="114"/>
      <c r="P201" s="114"/>
      <c r="Q201" s="114"/>
      <c r="R201" s="114"/>
      <c r="S201" s="114"/>
      <c r="T201" s="114"/>
    </row>
    <row r="202" spans="1:22" s="155" customFormat="1">
      <c r="A202" s="523" t="s">
        <v>156</v>
      </c>
      <c r="B202" s="524"/>
      <c r="C202" s="524"/>
      <c r="D202" s="524"/>
      <c r="E202" s="524"/>
      <c r="F202" s="524"/>
      <c r="G202" s="524"/>
      <c r="H202" s="524"/>
      <c r="I202" s="525"/>
      <c r="J202" s="156"/>
      <c r="K202" s="156"/>
      <c r="L202" s="118"/>
      <c r="M202" s="114"/>
      <c r="N202" s="114"/>
      <c r="O202" s="114"/>
      <c r="P202" s="114"/>
      <c r="Q202" s="114"/>
      <c r="R202" s="114"/>
      <c r="S202" s="114"/>
      <c r="T202" s="114"/>
    </row>
    <row r="203" spans="1:22" s="152" customFormat="1" ht="14.25">
      <c r="A203" s="119" t="s">
        <v>158</v>
      </c>
      <c r="B203" s="517" t="s">
        <v>120</v>
      </c>
      <c r="C203" s="518"/>
      <c r="D203" s="518"/>
      <c r="E203" s="518"/>
      <c r="F203" s="518"/>
      <c r="G203" s="518"/>
      <c r="H203" s="518"/>
      <c r="I203" s="518"/>
      <c r="J203" s="518"/>
      <c r="K203" s="519"/>
      <c r="L203" s="120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</row>
    <row r="204" spans="1:22" s="152" customFormat="1" ht="14.25">
      <c r="A204" s="119" t="s">
        <v>157</v>
      </c>
      <c r="B204" s="241" t="s">
        <v>440</v>
      </c>
      <c r="C204" s="122" t="s">
        <v>531</v>
      </c>
      <c r="D204" s="123" t="s">
        <v>29</v>
      </c>
      <c r="E204" s="183">
        <f>49.72+16.26</f>
        <v>65.98</v>
      </c>
      <c r="F204" s="242"/>
      <c r="G204" s="117"/>
      <c r="H204" s="117"/>
      <c r="I204" s="117"/>
      <c r="J204" s="117"/>
      <c r="K204" s="117"/>
      <c r="L204" s="120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</row>
    <row r="205" spans="1:22" s="152" customFormat="1">
      <c r="A205" s="514" t="s">
        <v>161</v>
      </c>
      <c r="B205" s="515"/>
      <c r="C205" s="515"/>
      <c r="D205" s="515"/>
      <c r="E205" s="515"/>
      <c r="F205" s="515"/>
      <c r="G205" s="515"/>
      <c r="H205" s="515"/>
      <c r="I205" s="516"/>
      <c r="J205" s="156"/>
      <c r="K205" s="156"/>
      <c r="L205" s="153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</row>
    <row r="206" spans="1:22" ht="14.25">
      <c r="A206" s="113" t="s">
        <v>119</v>
      </c>
      <c r="B206" s="526" t="s">
        <v>25</v>
      </c>
      <c r="C206" s="527"/>
      <c r="D206" s="527"/>
      <c r="E206" s="527"/>
      <c r="F206" s="527"/>
      <c r="G206" s="527"/>
      <c r="H206" s="527"/>
      <c r="I206" s="527"/>
      <c r="J206" s="527"/>
      <c r="K206" s="528"/>
      <c r="L206" s="158"/>
    </row>
    <row r="207" spans="1:22" s="155" customFormat="1" ht="14.25">
      <c r="A207" s="125" t="s">
        <v>121</v>
      </c>
      <c r="B207" s="180">
        <v>9537</v>
      </c>
      <c r="C207" s="114" t="s">
        <v>239</v>
      </c>
      <c r="D207" s="165" t="s">
        <v>29</v>
      </c>
      <c r="E207" s="117">
        <f>E13</f>
        <v>370.04</v>
      </c>
      <c r="F207" s="117"/>
      <c r="G207" s="117"/>
      <c r="H207" s="117"/>
      <c r="I207" s="117"/>
      <c r="J207" s="117"/>
      <c r="K207" s="117"/>
    </row>
    <row r="208" spans="1:22">
      <c r="A208" s="511" t="s">
        <v>124</v>
      </c>
      <c r="B208" s="512"/>
      <c r="C208" s="512"/>
      <c r="D208" s="512"/>
      <c r="E208" s="512"/>
      <c r="F208" s="512"/>
      <c r="G208" s="512"/>
      <c r="H208" s="512"/>
      <c r="I208" s="513"/>
      <c r="J208" s="156"/>
      <c r="K208" s="151"/>
    </row>
    <row r="209" spans="1:11" s="159" customFormat="1" ht="14.25">
      <c r="A209" s="127"/>
      <c r="B209" s="128"/>
      <c r="C209" s="506"/>
      <c r="D209" s="506"/>
      <c r="E209" s="506"/>
      <c r="F209" s="506"/>
      <c r="G209" s="506"/>
      <c r="H209" s="506"/>
      <c r="I209" s="506"/>
      <c r="J209" s="506"/>
      <c r="K209" s="507"/>
    </row>
    <row r="210" spans="1:11" s="161" customFormat="1" ht="15.75">
      <c r="A210" s="508" t="s">
        <v>14</v>
      </c>
      <c r="B210" s="509"/>
      <c r="C210" s="509"/>
      <c r="D210" s="509"/>
      <c r="E210" s="509"/>
      <c r="F210" s="509"/>
      <c r="G210" s="509"/>
      <c r="H210" s="509"/>
      <c r="I210" s="510"/>
      <c r="J210" s="160"/>
      <c r="K210" s="160"/>
    </row>
    <row r="212" spans="1:11">
      <c r="H212" s="162"/>
    </row>
    <row r="215" spans="1:11" ht="14.25">
      <c r="A215" s="100"/>
      <c r="B215" s="100"/>
      <c r="C215" s="100"/>
      <c r="D215" s="129"/>
      <c r="E215" s="130"/>
      <c r="F215" s="100"/>
      <c r="G215" s="100"/>
      <c r="H215" s="100"/>
      <c r="I215" s="100"/>
      <c r="J215" s="100"/>
    </row>
    <row r="216" spans="1:11" ht="14.25">
      <c r="A216" s="100"/>
      <c r="B216" s="100"/>
      <c r="C216" s="100"/>
      <c r="D216" s="129"/>
      <c r="E216" s="130"/>
      <c r="F216" s="100"/>
      <c r="G216" s="130"/>
      <c r="H216" s="100"/>
      <c r="I216" s="130"/>
      <c r="J216" s="130"/>
    </row>
    <row r="217" spans="1:11" ht="14.25">
      <c r="A217" s="100"/>
      <c r="B217" s="100"/>
      <c r="C217" s="100"/>
      <c r="D217" s="129"/>
      <c r="E217" s="130"/>
      <c r="F217" s="100"/>
      <c r="G217" s="130"/>
      <c r="H217" s="100"/>
      <c r="I217" s="130"/>
      <c r="J217" s="130"/>
    </row>
    <row r="218" spans="1:11" ht="14.25">
      <c r="A218" s="100"/>
      <c r="B218" s="100"/>
      <c r="C218" s="100"/>
      <c r="D218" s="129"/>
      <c r="E218" s="130"/>
      <c r="F218" s="100"/>
      <c r="G218" s="130"/>
      <c r="H218" s="100"/>
      <c r="I218" s="130"/>
      <c r="J218" s="130"/>
    </row>
    <row r="219" spans="1:11" ht="14.25">
      <c r="A219" s="100"/>
      <c r="B219" s="100"/>
      <c r="C219" s="100"/>
      <c r="D219" s="129"/>
      <c r="E219" s="130"/>
      <c r="F219" s="100"/>
      <c r="G219" s="130"/>
      <c r="H219" s="100"/>
      <c r="I219" s="130"/>
      <c r="J219" s="130"/>
    </row>
    <row r="220" spans="1:11" ht="14.25">
      <c r="A220" s="100"/>
      <c r="B220" s="100"/>
      <c r="C220" s="100"/>
      <c r="D220" s="129"/>
      <c r="E220" s="130"/>
      <c r="F220" s="100"/>
      <c r="G220" s="130"/>
      <c r="H220" s="100"/>
      <c r="I220" s="130"/>
      <c r="J220" s="130"/>
    </row>
    <row r="221" spans="1:11" ht="14.25">
      <c r="A221" s="100"/>
      <c r="B221" s="100"/>
      <c r="C221" s="100"/>
      <c r="D221" s="129"/>
      <c r="E221" s="130"/>
      <c r="F221" s="100"/>
      <c r="G221" s="130"/>
      <c r="H221" s="100"/>
      <c r="I221" s="130"/>
      <c r="J221" s="130"/>
    </row>
    <row r="222" spans="1:11" ht="14.25">
      <c r="A222" s="100"/>
      <c r="B222" s="100"/>
      <c r="C222" s="100"/>
      <c r="D222" s="129"/>
      <c r="E222" s="130"/>
      <c r="F222" s="100"/>
      <c r="G222" s="130"/>
      <c r="H222" s="100"/>
      <c r="I222" s="130"/>
      <c r="J222" s="130"/>
    </row>
    <row r="223" spans="1:11" ht="14.25">
      <c r="A223" s="100"/>
      <c r="B223" s="100"/>
      <c r="C223" s="100"/>
      <c r="D223" s="129"/>
      <c r="E223" s="130"/>
      <c r="F223" s="100"/>
      <c r="G223" s="130"/>
      <c r="H223" s="100"/>
      <c r="I223" s="130"/>
      <c r="J223" s="130"/>
    </row>
    <row r="224" spans="1:11" ht="14.25">
      <c r="A224" s="142"/>
      <c r="B224" s="142"/>
    </row>
    <row r="225" spans="1:11" ht="14.25">
      <c r="A225" s="100"/>
      <c r="B225" s="100"/>
      <c r="C225" s="100"/>
      <c r="D225" s="129"/>
      <c r="E225" s="130"/>
      <c r="F225" s="100"/>
      <c r="G225" s="130"/>
      <c r="H225" s="100"/>
      <c r="I225" s="130"/>
      <c r="J225" s="130"/>
    </row>
    <row r="226" spans="1:11" ht="14.25">
      <c r="A226" s="100"/>
      <c r="B226" s="100"/>
      <c r="C226" s="100"/>
      <c r="D226" s="129"/>
      <c r="E226" s="130"/>
      <c r="F226" s="100"/>
      <c r="G226" s="130"/>
      <c r="H226" s="100"/>
      <c r="I226" s="130"/>
      <c r="J226" s="130"/>
    </row>
    <row r="227" spans="1:11" ht="14.25">
      <c r="A227" s="100"/>
      <c r="B227" s="100"/>
      <c r="C227" s="100"/>
      <c r="D227" s="129"/>
      <c r="E227" s="130"/>
      <c r="F227" s="130"/>
      <c r="G227" s="130"/>
      <c r="H227" s="100"/>
      <c r="I227" s="130"/>
      <c r="J227" s="130"/>
    </row>
    <row r="228" spans="1:11" ht="14.25">
      <c r="A228" s="100"/>
      <c r="B228" s="100"/>
      <c r="C228" s="100"/>
      <c r="D228" s="129"/>
      <c r="E228" s="130"/>
      <c r="F228" s="130"/>
      <c r="G228" s="130"/>
      <c r="H228" s="100"/>
      <c r="I228" s="130"/>
      <c r="J228" s="130"/>
    </row>
    <row r="229" spans="1:11" ht="14.25">
      <c r="A229" s="100"/>
      <c r="B229" s="100"/>
      <c r="C229" s="100"/>
      <c r="D229" s="129"/>
      <c r="E229" s="130"/>
      <c r="F229" s="130"/>
      <c r="G229" s="130"/>
      <c r="H229" s="100"/>
      <c r="I229" s="130"/>
      <c r="J229" s="130"/>
    </row>
    <row r="230" spans="1:11" ht="14.25">
      <c r="A230" s="100"/>
      <c r="B230" s="100"/>
      <c r="C230" s="100"/>
      <c r="D230" s="129"/>
      <c r="E230" s="130"/>
      <c r="F230" s="130"/>
      <c r="G230" s="130"/>
      <c r="H230" s="100"/>
      <c r="I230" s="130"/>
      <c r="J230" s="130"/>
    </row>
    <row r="231" spans="1:11" ht="14.25">
      <c r="A231" s="100"/>
      <c r="B231" s="100"/>
      <c r="C231" s="100"/>
      <c r="D231" s="129"/>
      <c r="E231" s="130"/>
      <c r="F231" s="130"/>
      <c r="G231" s="130"/>
      <c r="H231" s="100"/>
      <c r="I231" s="130"/>
      <c r="J231" s="130"/>
    </row>
    <row r="232" spans="1:11" ht="14.25">
      <c r="A232" s="100"/>
      <c r="B232" s="100"/>
      <c r="C232" s="100"/>
      <c r="D232" s="129"/>
      <c r="E232" s="130"/>
      <c r="F232" s="130"/>
      <c r="G232" s="130"/>
      <c r="H232" s="100"/>
      <c r="I232" s="130"/>
      <c r="J232" s="130"/>
    </row>
    <row r="233" spans="1:11" ht="14.25">
      <c r="A233" s="100"/>
      <c r="B233" s="100"/>
      <c r="C233" s="100"/>
      <c r="D233" s="129"/>
      <c r="E233" s="130"/>
      <c r="F233" s="130"/>
      <c r="G233" s="130"/>
      <c r="H233" s="130"/>
      <c r="I233" s="130"/>
      <c r="J233" s="130"/>
    </row>
    <row r="234" spans="1:11" ht="14.25">
      <c r="A234" s="100"/>
      <c r="B234" s="100"/>
      <c r="C234" s="100"/>
      <c r="D234" s="129"/>
      <c r="E234" s="130"/>
      <c r="F234" s="100"/>
      <c r="G234" s="130"/>
      <c r="H234" s="100"/>
      <c r="I234" s="130"/>
      <c r="J234" s="130"/>
    </row>
    <row r="235" spans="1:11" ht="14.25">
      <c r="A235" s="100"/>
      <c r="B235" s="100"/>
      <c r="C235" s="100"/>
      <c r="D235" s="129"/>
      <c r="E235" s="130"/>
      <c r="F235" s="130"/>
      <c r="G235" s="130"/>
      <c r="H235" s="100"/>
      <c r="I235" s="130"/>
      <c r="J235" s="130"/>
    </row>
    <row r="236" spans="1:11" ht="14.25">
      <c r="A236" s="100"/>
      <c r="B236" s="100"/>
      <c r="C236" s="100"/>
      <c r="D236" s="129"/>
      <c r="E236" s="130"/>
      <c r="F236" s="130"/>
      <c r="G236" s="130"/>
      <c r="H236" s="100"/>
      <c r="I236" s="130"/>
      <c r="J236" s="130"/>
    </row>
    <row r="237" spans="1:11" ht="14.25">
      <c r="A237" s="100"/>
      <c r="B237" s="100"/>
      <c r="C237" s="100"/>
      <c r="D237" s="129"/>
      <c r="E237" s="130"/>
      <c r="F237" s="100"/>
      <c r="G237" s="130"/>
      <c r="H237" s="100"/>
      <c r="I237" s="130"/>
      <c r="J237" s="130"/>
      <c r="K237" s="159"/>
    </row>
    <row r="238" spans="1:11" ht="14.25">
      <c r="A238" s="131"/>
      <c r="B238" s="131"/>
      <c r="C238" s="132"/>
      <c r="D238" s="133"/>
      <c r="E238" s="134"/>
      <c r="F238" s="131"/>
      <c r="G238" s="130"/>
      <c r="H238" s="131"/>
      <c r="I238" s="130"/>
      <c r="J238" s="130"/>
    </row>
    <row r="239" spans="1:11" ht="14.25">
      <c r="A239" s="100"/>
      <c r="B239" s="100"/>
      <c r="C239" s="100"/>
      <c r="D239" s="129"/>
      <c r="E239" s="130"/>
      <c r="F239" s="100"/>
      <c r="G239" s="130"/>
      <c r="H239" s="100"/>
      <c r="I239" s="130"/>
      <c r="J239" s="130"/>
    </row>
    <row r="240" spans="1:11" ht="14.25">
      <c r="A240" s="100"/>
      <c r="B240" s="100"/>
      <c r="C240" s="100"/>
      <c r="D240" s="129"/>
      <c r="E240" s="130"/>
      <c r="F240" s="100"/>
      <c r="G240" s="130"/>
      <c r="H240" s="100"/>
      <c r="I240" s="130"/>
      <c r="J240" s="130"/>
    </row>
    <row r="241" spans="1:11" ht="14.25">
      <c r="A241" s="100"/>
      <c r="B241" s="100"/>
      <c r="C241" s="100"/>
      <c r="D241" s="129"/>
      <c r="E241" s="130"/>
      <c r="F241" s="100"/>
      <c r="G241" s="130"/>
      <c r="H241" s="100"/>
      <c r="I241" s="130"/>
      <c r="J241" s="130"/>
    </row>
    <row r="242" spans="1:11" ht="14.25">
      <c r="A242" s="100"/>
      <c r="B242" s="100"/>
      <c r="C242" s="100"/>
      <c r="D242" s="129"/>
      <c r="E242" s="130"/>
      <c r="F242" s="100"/>
      <c r="G242" s="130"/>
      <c r="H242" s="100"/>
      <c r="I242" s="130"/>
      <c r="J242" s="130"/>
    </row>
    <row r="243" spans="1:11" ht="14.25">
      <c r="A243" s="100"/>
      <c r="B243" s="100"/>
      <c r="C243" s="100"/>
      <c r="D243" s="129"/>
      <c r="E243" s="130"/>
      <c r="F243" s="130"/>
      <c r="G243" s="130"/>
      <c r="H243" s="130"/>
      <c r="I243" s="130"/>
      <c r="J243" s="130"/>
    </row>
    <row r="244" spans="1:11" ht="14.25">
      <c r="A244" s="142"/>
      <c r="B244" s="142"/>
    </row>
    <row r="245" spans="1:11" ht="14.25">
      <c r="A245" s="142"/>
      <c r="B245" s="142"/>
    </row>
    <row r="246" spans="1:11" ht="14.25">
      <c r="A246" s="100"/>
      <c r="B246" s="100"/>
      <c r="C246" s="129"/>
      <c r="D246" s="100"/>
      <c r="E246" s="130"/>
      <c r="F246" s="100"/>
      <c r="G246" s="100"/>
      <c r="H246" s="100"/>
      <c r="I246" s="100"/>
      <c r="J246" s="100"/>
    </row>
    <row r="247" spans="1:11" ht="14.25">
      <c r="A247" s="100"/>
      <c r="B247" s="100"/>
      <c r="C247" s="100"/>
      <c r="D247" s="129"/>
      <c r="E247" s="130"/>
      <c r="F247" s="130"/>
      <c r="G247" s="130"/>
      <c r="H247" s="130"/>
      <c r="I247" s="130"/>
      <c r="J247" s="130"/>
      <c r="K247" s="100"/>
    </row>
    <row r="248" spans="1:11" ht="14.25">
      <c r="A248" s="100"/>
      <c r="B248" s="100"/>
      <c r="C248" s="100"/>
      <c r="D248" s="129"/>
      <c r="E248" s="130"/>
      <c r="F248" s="130"/>
      <c r="G248" s="130"/>
      <c r="H248" s="130"/>
      <c r="I248" s="130"/>
      <c r="J248" s="130"/>
      <c r="K248" s="100"/>
    </row>
    <row r="249" spans="1:11" ht="14.25">
      <c r="A249" s="100"/>
      <c r="B249" s="100"/>
      <c r="C249" s="100"/>
      <c r="D249" s="129"/>
      <c r="E249" s="130"/>
      <c r="F249" s="130"/>
      <c r="G249" s="130"/>
      <c r="H249" s="130"/>
      <c r="I249" s="130"/>
      <c r="J249" s="130"/>
      <c r="K249" s="100"/>
    </row>
    <row r="250" spans="1:11" ht="14.25">
      <c r="A250" s="100"/>
      <c r="B250" s="100"/>
      <c r="C250" s="100"/>
      <c r="D250" s="129"/>
      <c r="E250" s="130"/>
      <c r="F250" s="130"/>
      <c r="G250" s="130"/>
      <c r="H250" s="130"/>
      <c r="I250" s="130"/>
      <c r="J250" s="130"/>
      <c r="K250" s="100"/>
    </row>
    <row r="251" spans="1:11" ht="14.25">
      <c r="A251" s="100"/>
      <c r="B251" s="100"/>
      <c r="C251" s="100"/>
      <c r="D251" s="129"/>
      <c r="E251" s="130"/>
      <c r="F251" s="130"/>
      <c r="G251" s="130"/>
      <c r="H251" s="130"/>
      <c r="I251" s="130"/>
      <c r="J251" s="130"/>
      <c r="K251" s="100"/>
    </row>
    <row r="252" spans="1:11" ht="14.25">
      <c r="A252" s="100"/>
      <c r="B252" s="100"/>
      <c r="C252" s="100"/>
      <c r="D252" s="129"/>
      <c r="E252" s="130"/>
      <c r="F252" s="130"/>
      <c r="G252" s="130"/>
      <c r="H252" s="130"/>
      <c r="I252" s="130"/>
      <c r="J252" s="130"/>
      <c r="K252" s="100"/>
    </row>
    <row r="253" spans="1:11" ht="14.25">
      <c r="A253" s="100"/>
      <c r="B253" s="100"/>
      <c r="C253" s="100"/>
      <c r="D253" s="129"/>
      <c r="E253" s="130"/>
      <c r="F253" s="130"/>
      <c r="G253" s="130"/>
      <c r="H253" s="130"/>
      <c r="I253" s="130"/>
      <c r="J253" s="130"/>
      <c r="K253" s="100"/>
    </row>
    <row r="254" spans="1:11" ht="14.25">
      <c r="A254" s="100"/>
      <c r="B254" s="100"/>
      <c r="C254" s="100"/>
      <c r="D254" s="129"/>
      <c r="E254" s="130"/>
      <c r="F254" s="130"/>
      <c r="G254" s="130"/>
      <c r="H254" s="130"/>
      <c r="I254" s="130"/>
      <c r="J254" s="130"/>
      <c r="K254" s="100"/>
    </row>
    <row r="255" spans="1:11" ht="14.25">
      <c r="A255" s="100"/>
      <c r="B255" s="100"/>
      <c r="C255" s="100"/>
      <c r="D255" s="129"/>
      <c r="E255" s="130"/>
      <c r="F255" s="130"/>
      <c r="G255" s="130"/>
      <c r="H255" s="130"/>
      <c r="I255" s="130"/>
      <c r="J255" s="130"/>
      <c r="K255" s="100"/>
    </row>
    <row r="256" spans="1:11" ht="14.25">
      <c r="A256" s="100"/>
      <c r="B256" s="100"/>
      <c r="C256" s="100"/>
      <c r="D256" s="129"/>
      <c r="E256" s="130"/>
      <c r="F256" s="130"/>
      <c r="G256" s="130"/>
      <c r="H256" s="130"/>
      <c r="I256" s="130"/>
      <c r="J256" s="130"/>
      <c r="K256" s="100"/>
    </row>
    <row r="257" spans="1:11" ht="14.25">
      <c r="A257" s="100"/>
      <c r="B257" s="100"/>
      <c r="C257" s="100"/>
      <c r="D257" s="129"/>
      <c r="E257" s="130"/>
      <c r="F257" s="130"/>
      <c r="G257" s="130"/>
      <c r="H257" s="130"/>
      <c r="I257" s="130"/>
      <c r="J257" s="130"/>
      <c r="K257" s="100"/>
    </row>
    <row r="258" spans="1:11" ht="14.25">
      <c r="A258" s="100"/>
      <c r="B258" s="100"/>
      <c r="C258" s="100"/>
      <c r="D258" s="129"/>
      <c r="E258" s="130"/>
      <c r="F258" s="130"/>
      <c r="G258" s="130"/>
      <c r="H258" s="130"/>
      <c r="I258" s="130"/>
      <c r="J258" s="130"/>
      <c r="K258" s="100"/>
    </row>
    <row r="259" spans="1:11" ht="14.25">
      <c r="A259" s="100"/>
      <c r="B259" s="100"/>
      <c r="C259" s="100"/>
      <c r="D259" s="129"/>
      <c r="E259" s="130"/>
      <c r="F259" s="130"/>
      <c r="G259" s="130"/>
      <c r="H259" s="130"/>
      <c r="I259" s="130"/>
      <c r="J259" s="130"/>
      <c r="K259" s="100"/>
    </row>
    <row r="260" spans="1:11" ht="14.25">
      <c r="A260" s="100"/>
      <c r="B260" s="100"/>
      <c r="C260" s="100"/>
      <c r="D260" s="129"/>
      <c r="E260" s="130"/>
      <c r="F260" s="130"/>
      <c r="G260" s="130"/>
      <c r="H260" s="130"/>
      <c r="I260" s="130"/>
      <c r="J260" s="130"/>
      <c r="K260" s="100"/>
    </row>
    <row r="261" spans="1:11" ht="14.25">
      <c r="A261" s="100"/>
      <c r="B261" s="100"/>
      <c r="C261" s="100"/>
      <c r="D261" s="129"/>
      <c r="E261" s="130"/>
      <c r="F261" s="130"/>
      <c r="G261" s="130"/>
      <c r="H261" s="130"/>
      <c r="I261" s="130"/>
      <c r="J261" s="130"/>
      <c r="K261" s="100"/>
    </row>
    <row r="262" spans="1:11" ht="14.25">
      <c r="A262" s="100"/>
      <c r="B262" s="100"/>
      <c r="C262" s="100"/>
      <c r="D262" s="129"/>
      <c r="E262" s="130"/>
      <c r="F262" s="130"/>
      <c r="G262" s="130"/>
      <c r="H262" s="130"/>
      <c r="I262" s="130"/>
      <c r="J262" s="130"/>
      <c r="K262" s="100"/>
    </row>
    <row r="263" spans="1:11" ht="14.25">
      <c r="A263" s="100"/>
      <c r="B263" s="100"/>
      <c r="C263" s="135"/>
      <c r="D263" s="129"/>
      <c r="E263" s="136"/>
      <c r="F263" s="130"/>
      <c r="G263" s="130"/>
      <c r="H263" s="130"/>
      <c r="I263" s="130"/>
      <c r="J263" s="130"/>
      <c r="K263" s="100"/>
    </row>
    <row r="264" spans="1:11" ht="14.25">
      <c r="A264" s="100"/>
      <c r="B264" s="100"/>
      <c r="C264" s="135"/>
      <c r="D264" s="129"/>
      <c r="E264" s="136"/>
      <c r="F264" s="130"/>
      <c r="G264" s="130"/>
      <c r="H264" s="130"/>
      <c r="I264" s="130"/>
      <c r="J264" s="130"/>
      <c r="K264" s="100"/>
    </row>
    <row r="265" spans="1:11" ht="14.25">
      <c r="A265" s="100"/>
      <c r="B265" s="100"/>
      <c r="C265" s="135"/>
      <c r="D265" s="129"/>
      <c r="E265" s="136"/>
      <c r="F265" s="130"/>
      <c r="G265" s="130"/>
      <c r="H265" s="130"/>
      <c r="I265" s="130"/>
      <c r="J265" s="130"/>
      <c r="K265" s="100"/>
    </row>
    <row r="266" spans="1:11" ht="14.25">
      <c r="A266" s="100"/>
      <c r="B266" s="100"/>
      <c r="C266" s="135"/>
      <c r="D266" s="129"/>
      <c r="E266" s="136"/>
      <c r="F266" s="130"/>
      <c r="G266" s="130"/>
      <c r="H266" s="130"/>
      <c r="I266" s="130"/>
      <c r="J266" s="130"/>
      <c r="K266" s="100"/>
    </row>
    <row r="267" spans="1:11" ht="14.25">
      <c r="A267" s="100"/>
      <c r="B267" s="100"/>
      <c r="C267" s="100"/>
      <c r="D267" s="129"/>
      <c r="E267" s="130"/>
      <c r="F267" s="130"/>
      <c r="G267" s="130"/>
      <c r="H267" s="130"/>
      <c r="I267" s="130"/>
      <c r="J267" s="130"/>
      <c r="K267" s="100"/>
    </row>
    <row r="268" spans="1:11" ht="14.25">
      <c r="A268" s="100"/>
      <c r="B268" s="100"/>
      <c r="C268" s="100"/>
      <c r="E268" s="130"/>
      <c r="F268" s="130"/>
      <c r="G268" s="130"/>
      <c r="H268" s="130"/>
      <c r="I268" s="130"/>
      <c r="J268" s="130"/>
      <c r="K268" s="100"/>
    </row>
    <row r="269" spans="1:11" ht="14.25">
      <c r="A269" s="100"/>
      <c r="B269" s="100"/>
      <c r="C269" s="100"/>
      <c r="D269" s="129"/>
      <c r="E269" s="130"/>
      <c r="F269" s="130"/>
      <c r="G269" s="130"/>
      <c r="H269" s="130"/>
      <c r="I269" s="130"/>
      <c r="J269" s="130"/>
      <c r="K269" s="100"/>
    </row>
    <row r="270" spans="1:11" ht="14.25">
      <c r="A270" s="100"/>
      <c r="B270" s="100"/>
      <c r="C270" s="100"/>
      <c r="D270" s="129"/>
      <c r="E270" s="130"/>
      <c r="F270" s="130"/>
      <c r="G270" s="130"/>
      <c r="H270" s="130"/>
      <c r="I270" s="130"/>
      <c r="J270" s="130"/>
      <c r="K270" s="100"/>
    </row>
    <row r="271" spans="1:11" ht="14.25">
      <c r="A271" s="100"/>
      <c r="B271" s="100"/>
      <c r="C271" s="100"/>
      <c r="D271" s="129"/>
      <c r="E271" s="130"/>
      <c r="F271" s="130"/>
      <c r="G271" s="130"/>
      <c r="H271" s="130"/>
      <c r="I271" s="130"/>
      <c r="J271" s="130"/>
      <c r="K271" s="100"/>
    </row>
    <row r="272" spans="1:11" ht="14.25">
      <c r="A272" s="100"/>
      <c r="B272" s="100"/>
      <c r="C272" s="100"/>
      <c r="D272" s="129"/>
      <c r="E272" s="130"/>
      <c r="F272" s="130"/>
      <c r="G272" s="130"/>
      <c r="H272" s="130"/>
      <c r="I272" s="130"/>
      <c r="J272" s="130"/>
      <c r="K272" s="100"/>
    </row>
    <row r="273" spans="1:11" ht="14.25">
      <c r="A273" s="100"/>
      <c r="B273" s="100"/>
      <c r="C273" s="100"/>
      <c r="D273" s="129"/>
      <c r="E273" s="130"/>
      <c r="F273" s="130"/>
      <c r="G273" s="130"/>
      <c r="H273" s="130"/>
      <c r="I273" s="130"/>
      <c r="J273" s="130"/>
      <c r="K273" s="100"/>
    </row>
    <row r="274" spans="1:11" ht="14.25">
      <c r="A274" s="100"/>
      <c r="B274" s="100"/>
      <c r="C274" s="100"/>
      <c r="D274" s="129"/>
      <c r="E274" s="130"/>
      <c r="F274" s="130"/>
      <c r="G274" s="130"/>
      <c r="H274" s="130"/>
      <c r="I274" s="130"/>
      <c r="J274" s="130"/>
      <c r="K274" s="100"/>
    </row>
    <row r="275" spans="1:11" ht="14.25">
      <c r="A275" s="100"/>
      <c r="B275" s="100"/>
      <c r="D275" s="129"/>
      <c r="E275" s="130"/>
      <c r="F275" s="130"/>
      <c r="G275" s="130"/>
      <c r="H275" s="130"/>
      <c r="I275" s="130"/>
      <c r="J275" s="130"/>
      <c r="K275" s="100"/>
    </row>
    <row r="276" spans="1:11" ht="14.25">
      <c r="A276" s="100"/>
      <c r="B276" s="100"/>
      <c r="C276" s="100"/>
      <c r="D276" s="129"/>
      <c r="E276" s="130"/>
      <c r="F276" s="130"/>
      <c r="G276" s="130"/>
      <c r="H276" s="130"/>
      <c r="I276" s="130"/>
      <c r="J276" s="130"/>
      <c r="K276" s="100"/>
    </row>
    <row r="277" spans="1:11" ht="14.25">
      <c r="A277" s="100"/>
      <c r="B277" s="100"/>
      <c r="C277" s="100"/>
      <c r="D277" s="129"/>
      <c r="E277" s="130"/>
      <c r="F277" s="130"/>
      <c r="G277" s="130"/>
      <c r="H277" s="130"/>
      <c r="I277" s="130"/>
      <c r="J277" s="130"/>
      <c r="K277" s="100"/>
    </row>
    <row r="278" spans="1:11" ht="14.25">
      <c r="A278" s="100"/>
      <c r="B278" s="100"/>
      <c r="C278" s="100"/>
      <c r="D278" s="129"/>
      <c r="E278" s="130"/>
      <c r="F278" s="130"/>
      <c r="G278" s="130"/>
      <c r="H278" s="130"/>
      <c r="I278" s="130"/>
      <c r="J278" s="130"/>
      <c r="K278" s="100"/>
    </row>
    <row r="279" spans="1:11" ht="14.25">
      <c r="A279" s="100"/>
      <c r="B279" s="100"/>
      <c r="C279" s="100"/>
      <c r="D279" s="129"/>
      <c r="E279" s="130"/>
      <c r="F279" s="130"/>
      <c r="G279" s="130"/>
      <c r="H279" s="130"/>
      <c r="I279" s="130"/>
      <c r="J279" s="130"/>
      <c r="K279" s="100"/>
    </row>
    <row r="280" spans="1:11" ht="14.25">
      <c r="A280" s="100"/>
      <c r="B280" s="100"/>
      <c r="C280" s="100"/>
      <c r="D280" s="129"/>
      <c r="E280" s="130"/>
      <c r="F280" s="130"/>
      <c r="G280" s="130"/>
      <c r="H280" s="130"/>
      <c r="I280" s="130"/>
      <c r="J280" s="130"/>
      <c r="K280" s="100"/>
    </row>
    <row r="281" spans="1:11" ht="14.25">
      <c r="A281" s="146"/>
      <c r="B281" s="146"/>
      <c r="D281" s="142"/>
      <c r="G281" s="150"/>
    </row>
    <row r="282" spans="1:11" ht="14.25">
      <c r="A282" s="146"/>
      <c r="B282" s="146"/>
      <c r="D282" s="142"/>
    </row>
    <row r="283" spans="1:11" ht="14.25">
      <c r="A283" s="146"/>
      <c r="B283" s="146"/>
      <c r="D283" s="142"/>
    </row>
  </sheetData>
  <mergeCells count="48">
    <mergeCell ref="A1:K1"/>
    <mergeCell ref="D5:G5"/>
    <mergeCell ref="D7:G7"/>
    <mergeCell ref="A9:A10"/>
    <mergeCell ref="B9:B10"/>
    <mergeCell ref="C9:C10"/>
    <mergeCell ref="D9:D10"/>
    <mergeCell ref="E9:E10"/>
    <mergeCell ref="F9:G9"/>
    <mergeCell ref="H9:I9"/>
    <mergeCell ref="A56:I56"/>
    <mergeCell ref="L9:O9"/>
    <mergeCell ref="P9:T9"/>
    <mergeCell ref="B11:K11"/>
    <mergeCell ref="A14:I14"/>
    <mergeCell ref="B15:K15"/>
    <mergeCell ref="A21:I21"/>
    <mergeCell ref="B22:K22"/>
    <mergeCell ref="A31:I31"/>
    <mergeCell ref="B32:K32"/>
    <mergeCell ref="A48:I48"/>
    <mergeCell ref="B49:K49"/>
    <mergeCell ref="B57:K57"/>
    <mergeCell ref="A75:I75"/>
    <mergeCell ref="B76:K76"/>
    <mergeCell ref="A82:I82"/>
    <mergeCell ref="B83:K83"/>
    <mergeCell ref="A187:I187"/>
    <mergeCell ref="B188:K188"/>
    <mergeCell ref="A196:I196"/>
    <mergeCell ref="B105:K105"/>
    <mergeCell ref="A113:I113"/>
    <mergeCell ref="C209:K209"/>
    <mergeCell ref="A210:I210"/>
    <mergeCell ref="A104:I104"/>
    <mergeCell ref="A160:I160"/>
    <mergeCell ref="B158:K158"/>
    <mergeCell ref="A157:I157"/>
    <mergeCell ref="B114:K114"/>
    <mergeCell ref="B197:K197"/>
    <mergeCell ref="A202:I202"/>
    <mergeCell ref="B203:K203"/>
    <mergeCell ref="A205:I205"/>
    <mergeCell ref="B206:K206"/>
    <mergeCell ref="A208:I208"/>
    <mergeCell ref="B161:K161"/>
    <mergeCell ref="A170:I170"/>
    <mergeCell ref="B171:K171"/>
  </mergeCells>
  <pageMargins left="0.51181102362204722" right="0.51181102362204722" top="0.78740157480314965" bottom="0.78740157480314965" header="0.31496062992125984" footer="0.31496062992125984"/>
  <pageSetup paperSize="9" scale="71" fitToHeight="10" orientation="landscape" r:id="rId1"/>
  <headerFooter>
    <oddFooter>&amp;LADMINISTRAÇÃO&amp;CPágina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18"/>
  <sheetViews>
    <sheetView zoomScale="90" zoomScaleNormal="90" workbookViewId="0">
      <pane ySplit="10" topLeftCell="A11" activePane="bottomLeft" state="frozen"/>
      <selection pane="bottomLeft" activeCell="A11" sqref="A11:XFD11"/>
    </sheetView>
  </sheetViews>
  <sheetFormatPr defaultRowHeight="15"/>
  <cols>
    <col min="1" max="1" width="7" style="2" customWidth="1"/>
    <col min="2" max="2" width="13.28515625" style="2" customWidth="1"/>
    <col min="3" max="3" width="64.85546875" style="26" customWidth="1"/>
    <col min="4" max="4" width="9.140625" style="1"/>
    <col min="5" max="5" width="10.7109375" style="27" customWidth="1"/>
    <col min="6" max="9" width="15.7109375" customWidth="1"/>
    <col min="10" max="11" width="13.140625" customWidth="1"/>
    <col min="12" max="12" width="9.42578125" bestFit="1" customWidth="1"/>
    <col min="14" max="14" width="10.28515625" customWidth="1"/>
    <col min="15" max="15" width="13.5703125" customWidth="1"/>
    <col min="19" max="19" width="12.85546875" customWidth="1"/>
  </cols>
  <sheetData>
    <row r="1" spans="1:20" s="12" customFormat="1" ht="18.75">
      <c r="A1" s="490" t="s">
        <v>30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20">
      <c r="D2" s="3"/>
      <c r="E2" s="44"/>
      <c r="F2" s="1"/>
      <c r="G2" s="1"/>
      <c r="H2" s="1"/>
    </row>
    <row r="3" spans="1:20" ht="18.75">
      <c r="D3" s="51" t="s">
        <v>240</v>
      </c>
      <c r="E3" s="52"/>
      <c r="F3" s="52"/>
      <c r="G3" s="52"/>
      <c r="H3" s="6"/>
      <c r="J3" s="19"/>
      <c r="K3" s="17"/>
    </row>
    <row r="4" spans="1:20">
      <c r="D4" s="66" t="s">
        <v>511</v>
      </c>
      <c r="E4" s="67"/>
      <c r="F4" s="65"/>
      <c r="G4" s="65"/>
      <c r="H4" s="7"/>
      <c r="J4" s="18"/>
      <c r="K4" s="17"/>
    </row>
    <row r="5" spans="1:20">
      <c r="D5" s="491" t="s">
        <v>691</v>
      </c>
      <c r="E5" s="491"/>
      <c r="F5" s="491"/>
      <c r="G5" s="491"/>
      <c r="H5" s="7"/>
      <c r="J5" s="18"/>
      <c r="K5" s="17"/>
    </row>
    <row r="6" spans="1:20">
      <c r="D6" s="305" t="s">
        <v>728</v>
      </c>
      <c r="E6" s="55"/>
      <c r="F6" s="55"/>
      <c r="G6" s="55"/>
      <c r="H6" s="7"/>
      <c r="J6" s="18"/>
      <c r="K6" s="17"/>
    </row>
    <row r="7" spans="1:20">
      <c r="D7" s="491" t="s">
        <v>661</v>
      </c>
      <c r="E7" s="491"/>
      <c r="F7" s="491"/>
      <c r="G7" s="491"/>
      <c r="H7" s="7"/>
      <c r="J7" s="18"/>
      <c r="K7" s="17"/>
    </row>
    <row r="8" spans="1:20">
      <c r="J8" s="17"/>
      <c r="K8" s="17"/>
    </row>
    <row r="9" spans="1:20" s="12" customFormat="1">
      <c r="A9" s="471" t="s">
        <v>0</v>
      </c>
      <c r="B9" s="471" t="s">
        <v>125</v>
      </c>
      <c r="C9" s="564" t="s">
        <v>1</v>
      </c>
      <c r="D9" s="471" t="s">
        <v>2</v>
      </c>
      <c r="E9" s="500" t="s">
        <v>3</v>
      </c>
      <c r="F9" s="504" t="s">
        <v>22</v>
      </c>
      <c r="G9" s="505"/>
      <c r="H9" s="502" t="s">
        <v>23</v>
      </c>
      <c r="I9" s="503"/>
      <c r="J9" s="9" t="s">
        <v>19</v>
      </c>
      <c r="K9" s="16" t="s">
        <v>668</v>
      </c>
      <c r="L9" s="499"/>
      <c r="M9" s="499"/>
      <c r="N9" s="499"/>
      <c r="O9" s="499"/>
      <c r="P9" s="498"/>
      <c r="Q9" s="498"/>
      <c r="R9" s="498"/>
      <c r="S9" s="498"/>
      <c r="T9" s="498"/>
    </row>
    <row r="10" spans="1:20">
      <c r="A10" s="472"/>
      <c r="B10" s="472"/>
      <c r="C10" s="565"/>
      <c r="D10" s="472"/>
      <c r="E10" s="501"/>
      <c r="F10" s="85" t="s">
        <v>20</v>
      </c>
      <c r="G10" s="10" t="s">
        <v>21</v>
      </c>
      <c r="H10" s="10" t="s">
        <v>20</v>
      </c>
      <c r="I10" s="10" t="s">
        <v>21</v>
      </c>
      <c r="J10" s="10" t="s">
        <v>667</v>
      </c>
      <c r="K10" s="37">
        <f>E4</f>
        <v>0</v>
      </c>
      <c r="L10" s="14"/>
      <c r="M10" s="15"/>
      <c r="N10" s="15"/>
      <c r="O10" s="15"/>
      <c r="P10" s="14"/>
      <c r="Q10" s="14"/>
      <c r="R10" s="15"/>
      <c r="S10" s="15"/>
      <c r="T10" s="14"/>
    </row>
    <row r="11" spans="1:20">
      <c r="A11" s="60" t="s">
        <v>4</v>
      </c>
      <c r="B11" s="458" t="s">
        <v>24</v>
      </c>
      <c r="C11" s="459"/>
      <c r="D11" s="459"/>
      <c r="E11" s="459"/>
      <c r="F11" s="459"/>
      <c r="G11" s="459"/>
      <c r="H11" s="459"/>
      <c r="I11" s="459"/>
      <c r="J11" s="459"/>
      <c r="K11" s="473"/>
      <c r="L11" s="11"/>
      <c r="M11" s="11"/>
      <c r="N11" s="11"/>
      <c r="O11" s="11"/>
      <c r="P11" s="11"/>
      <c r="Q11" s="11"/>
      <c r="R11" s="11"/>
      <c r="S11" s="11"/>
      <c r="T11" s="11"/>
    </row>
    <row r="12" spans="1:20" s="53" customFormat="1">
      <c r="A12" s="48" t="s">
        <v>8</v>
      </c>
      <c r="B12" s="84">
        <v>73672</v>
      </c>
      <c r="C12" s="58" t="s">
        <v>163</v>
      </c>
      <c r="D12" s="50" t="s">
        <v>29</v>
      </c>
      <c r="E12" s="47">
        <v>721.22</v>
      </c>
      <c r="F12" s="47"/>
      <c r="G12" s="47"/>
      <c r="H12" s="47"/>
      <c r="I12" s="47"/>
      <c r="J12" s="47"/>
      <c r="K12" s="47"/>
      <c r="L12" s="11"/>
      <c r="M12" s="11"/>
      <c r="N12" s="11"/>
      <c r="O12" s="11"/>
      <c r="P12" s="11"/>
      <c r="Q12" s="11"/>
      <c r="R12" s="11"/>
      <c r="S12" s="11"/>
      <c r="T12" s="11"/>
    </row>
    <row r="13" spans="1:20" s="53" customFormat="1" ht="24.75">
      <c r="A13" s="48" t="s">
        <v>9</v>
      </c>
      <c r="B13" s="195" t="s">
        <v>176</v>
      </c>
      <c r="C13" s="58" t="s">
        <v>177</v>
      </c>
      <c r="D13" s="50" t="s">
        <v>29</v>
      </c>
      <c r="E13" s="47">
        <v>607.61</v>
      </c>
      <c r="F13" s="47"/>
      <c r="G13" s="47"/>
      <c r="H13" s="47"/>
      <c r="I13" s="47"/>
      <c r="J13" s="47"/>
      <c r="K13" s="47"/>
      <c r="L13" s="11"/>
      <c r="M13" s="11"/>
      <c r="N13" s="11"/>
      <c r="O13" s="11"/>
      <c r="P13" s="11"/>
      <c r="Q13" s="11"/>
      <c r="R13" s="11"/>
      <c r="S13" s="11"/>
      <c r="T13" s="11"/>
    </row>
    <row r="14" spans="1:20">
      <c r="A14" s="494" t="s">
        <v>15</v>
      </c>
      <c r="B14" s="494"/>
      <c r="C14" s="495"/>
      <c r="D14" s="495"/>
      <c r="E14" s="495"/>
      <c r="F14" s="495"/>
      <c r="G14" s="495"/>
      <c r="H14" s="495"/>
      <c r="I14" s="495"/>
      <c r="J14" s="22"/>
      <c r="K14" s="38"/>
      <c r="L14" s="11"/>
      <c r="M14" s="11"/>
      <c r="N14" s="11"/>
      <c r="O14" s="11"/>
      <c r="P14" s="11"/>
      <c r="Q14" s="11"/>
      <c r="R14" s="11"/>
      <c r="S14" s="11"/>
      <c r="T14" s="11"/>
    </row>
    <row r="15" spans="1:20">
      <c r="A15" s="60" t="s">
        <v>5</v>
      </c>
      <c r="B15" s="458" t="s">
        <v>103</v>
      </c>
      <c r="C15" s="459"/>
      <c r="D15" s="459"/>
      <c r="E15" s="459"/>
      <c r="F15" s="459"/>
      <c r="G15" s="459"/>
      <c r="H15" s="459"/>
      <c r="I15" s="459"/>
      <c r="J15" s="459"/>
      <c r="K15" s="473"/>
      <c r="L15" s="11"/>
      <c r="M15" s="11"/>
      <c r="N15" s="11"/>
      <c r="O15" s="11"/>
      <c r="P15" s="11"/>
      <c r="Q15" s="11"/>
      <c r="R15" s="11"/>
      <c r="S15" s="11"/>
      <c r="T15" s="11"/>
    </row>
    <row r="16" spans="1:20" s="53" customFormat="1">
      <c r="A16" s="59" t="s">
        <v>10</v>
      </c>
      <c r="B16" s="196" t="s">
        <v>178</v>
      </c>
      <c r="C16" s="232" t="s">
        <v>179</v>
      </c>
      <c r="D16" s="50" t="s">
        <v>47</v>
      </c>
      <c r="E16" s="47">
        <f>E12*0.25</f>
        <v>180.30500000000001</v>
      </c>
      <c r="F16" s="47"/>
      <c r="G16" s="47"/>
      <c r="H16" s="47"/>
      <c r="I16" s="47"/>
      <c r="J16" s="47"/>
      <c r="K16" s="47"/>
      <c r="L16" s="11"/>
      <c r="M16" s="11"/>
      <c r="N16" s="11"/>
      <c r="O16" s="11"/>
      <c r="P16" s="11"/>
      <c r="Q16" s="11"/>
      <c r="R16" s="11"/>
      <c r="S16" s="11"/>
      <c r="T16" s="11"/>
    </row>
    <row r="17" spans="1:20" s="53" customFormat="1">
      <c r="A17" s="59" t="s">
        <v>11</v>
      </c>
      <c r="B17" s="169" t="s">
        <v>493</v>
      </c>
      <c r="C17" s="232" t="s">
        <v>494</v>
      </c>
      <c r="D17" s="165" t="s">
        <v>29</v>
      </c>
      <c r="E17" s="117">
        <v>367.87</v>
      </c>
      <c r="F17" s="117"/>
      <c r="G17" s="117"/>
      <c r="H17" s="117"/>
      <c r="I17" s="117"/>
      <c r="J17" s="117"/>
      <c r="K17" s="47"/>
      <c r="L17" s="11"/>
      <c r="M17" s="11"/>
      <c r="N17" s="11"/>
      <c r="O17" s="11"/>
      <c r="P17" s="11"/>
      <c r="Q17" s="11"/>
      <c r="R17" s="11"/>
      <c r="S17" s="11"/>
      <c r="T17" s="11"/>
    </row>
    <row r="18" spans="1:20" s="53" customFormat="1">
      <c r="A18" s="59" t="s">
        <v>442</v>
      </c>
      <c r="B18" s="170" t="s">
        <v>826</v>
      </c>
      <c r="C18" s="232" t="s">
        <v>827</v>
      </c>
      <c r="D18" s="165" t="s">
        <v>47</v>
      </c>
      <c r="E18" s="117">
        <v>107.25</v>
      </c>
      <c r="F18" s="117"/>
      <c r="G18" s="117"/>
      <c r="H18" s="117"/>
      <c r="I18" s="117"/>
      <c r="J18" s="117"/>
      <c r="K18" s="47"/>
      <c r="L18" s="11"/>
      <c r="M18" s="11"/>
      <c r="N18" s="11"/>
      <c r="O18" s="11"/>
      <c r="P18" s="11"/>
      <c r="Q18" s="11"/>
      <c r="R18" s="11"/>
      <c r="S18" s="11"/>
      <c r="T18" s="11"/>
    </row>
    <row r="19" spans="1:20" s="53" customFormat="1">
      <c r="A19" s="59" t="s">
        <v>443</v>
      </c>
      <c r="B19" s="170" t="s">
        <v>828</v>
      </c>
      <c r="C19" s="232" t="s">
        <v>829</v>
      </c>
      <c r="D19" s="173" t="s">
        <v>29</v>
      </c>
      <c r="E19" s="117">
        <v>550.01</v>
      </c>
      <c r="F19" s="117"/>
      <c r="G19" s="117"/>
      <c r="H19" s="117"/>
      <c r="I19" s="117"/>
      <c r="J19" s="117"/>
      <c r="K19" s="47"/>
      <c r="L19" s="11"/>
      <c r="M19" s="11"/>
      <c r="N19" s="11"/>
      <c r="O19" s="11"/>
      <c r="P19" s="11"/>
      <c r="Q19" s="11"/>
      <c r="R19" s="11"/>
      <c r="S19" s="11"/>
      <c r="T19" s="11"/>
    </row>
    <row r="20" spans="1:20" s="53" customFormat="1" ht="24.75">
      <c r="A20" s="59" t="s">
        <v>444</v>
      </c>
      <c r="B20" s="170">
        <v>72915</v>
      </c>
      <c r="C20" s="232" t="s">
        <v>492</v>
      </c>
      <c r="D20" s="165" t="s">
        <v>47</v>
      </c>
      <c r="E20" s="117">
        <f>(0.6*0.6*0.6)+(1.9*1.1*1.4)+((3.14*((1.2/2)*(1.2/2)))*5)</f>
        <v>8.7940000000000005</v>
      </c>
      <c r="F20" s="117"/>
      <c r="G20" s="117"/>
      <c r="H20" s="117"/>
      <c r="I20" s="117"/>
      <c r="J20" s="117"/>
      <c r="K20" s="47"/>
      <c r="L20" s="11"/>
      <c r="M20" s="11"/>
      <c r="N20" s="11"/>
      <c r="O20" s="11"/>
      <c r="P20" s="11"/>
      <c r="Q20" s="11"/>
      <c r="R20" s="11"/>
      <c r="S20" s="11"/>
      <c r="T20" s="11"/>
    </row>
    <row r="21" spans="1:20" s="155" customFormat="1" ht="14.25">
      <c r="A21" s="59" t="s">
        <v>445</v>
      </c>
      <c r="B21" s="170">
        <v>6430</v>
      </c>
      <c r="C21" s="232" t="s">
        <v>341</v>
      </c>
      <c r="D21" s="165" t="s">
        <v>47</v>
      </c>
      <c r="E21" s="117">
        <v>76.56</v>
      </c>
      <c r="F21" s="117"/>
      <c r="G21" s="117"/>
      <c r="H21" s="117"/>
      <c r="I21" s="117"/>
      <c r="J21" s="117"/>
      <c r="K21" s="47"/>
      <c r="L21" s="114"/>
      <c r="M21" s="114"/>
      <c r="N21" s="114"/>
      <c r="O21" s="114"/>
      <c r="P21" s="114"/>
      <c r="Q21" s="114"/>
      <c r="R21" s="114"/>
      <c r="S21" s="114"/>
      <c r="T21" s="114"/>
    </row>
    <row r="22" spans="1:20">
      <c r="A22" s="562" t="s">
        <v>16</v>
      </c>
      <c r="B22" s="562"/>
      <c r="C22" s="563"/>
      <c r="D22" s="563"/>
      <c r="E22" s="563"/>
      <c r="F22" s="563"/>
      <c r="G22" s="563"/>
      <c r="H22" s="563"/>
      <c r="I22" s="563"/>
      <c r="J22" s="22"/>
      <c r="K22" s="39"/>
      <c r="L22" s="11"/>
      <c r="M22" s="11"/>
      <c r="N22" s="11"/>
      <c r="O22" s="11"/>
      <c r="P22" s="11"/>
      <c r="Q22" s="11"/>
      <c r="R22" s="11"/>
      <c r="S22" s="11"/>
      <c r="T22" s="11"/>
    </row>
    <row r="23" spans="1:20">
      <c r="A23" s="60" t="s">
        <v>105</v>
      </c>
      <c r="B23" s="458" t="s">
        <v>106</v>
      </c>
      <c r="C23" s="459"/>
      <c r="D23" s="459"/>
      <c r="E23" s="459"/>
      <c r="F23" s="459"/>
      <c r="G23" s="459"/>
      <c r="H23" s="459"/>
      <c r="I23" s="459"/>
      <c r="J23" s="459"/>
      <c r="K23" s="473"/>
      <c r="L23" s="11"/>
      <c r="M23" s="11"/>
      <c r="N23" s="11"/>
      <c r="O23" s="11"/>
      <c r="P23" s="11"/>
      <c r="Q23" s="11"/>
      <c r="R23" s="11"/>
      <c r="S23" s="11"/>
      <c r="T23" s="11"/>
    </row>
    <row r="24" spans="1:20" s="53" customFormat="1">
      <c r="A24" s="48" t="s">
        <v>12</v>
      </c>
      <c r="B24" s="48"/>
      <c r="C24" s="234" t="s">
        <v>287</v>
      </c>
      <c r="D24" s="173" t="s">
        <v>29</v>
      </c>
      <c r="E24" s="172">
        <v>276.60000000000002</v>
      </c>
      <c r="F24" s="172"/>
      <c r="G24" s="172"/>
      <c r="H24" s="172"/>
      <c r="I24" s="172"/>
      <c r="J24" s="172"/>
      <c r="K24" s="172"/>
      <c r="L24" s="11"/>
      <c r="M24" s="11"/>
      <c r="N24" s="11"/>
      <c r="O24" s="11"/>
      <c r="P24" s="11"/>
      <c r="Q24" s="11"/>
      <c r="R24" s="11"/>
      <c r="S24" s="11"/>
      <c r="T24" s="11"/>
    </row>
    <row r="25" spans="1:20" s="53" customFormat="1">
      <c r="A25" s="48" t="s">
        <v>13</v>
      </c>
      <c r="B25" s="125" t="s">
        <v>904</v>
      </c>
      <c r="C25" s="234" t="s">
        <v>871</v>
      </c>
      <c r="D25" s="173" t="s">
        <v>47</v>
      </c>
      <c r="E25" s="172">
        <v>16.8</v>
      </c>
      <c r="F25" s="172"/>
      <c r="G25" s="172"/>
      <c r="H25" s="172"/>
      <c r="I25" s="172"/>
      <c r="J25" s="172"/>
      <c r="K25" s="172"/>
      <c r="L25" s="11"/>
      <c r="M25" s="11"/>
      <c r="N25" s="11"/>
      <c r="O25" s="11"/>
      <c r="P25" s="11"/>
      <c r="Q25" s="11"/>
      <c r="R25" s="11"/>
      <c r="S25" s="11"/>
      <c r="T25" s="11"/>
    </row>
    <row r="26" spans="1:20" s="53" customFormat="1">
      <c r="A26" s="48" t="s">
        <v>285</v>
      </c>
      <c r="B26" s="125" t="s">
        <v>905</v>
      </c>
      <c r="C26" s="234" t="s">
        <v>872</v>
      </c>
      <c r="D26" s="173" t="s">
        <v>47</v>
      </c>
      <c r="E26" s="172">
        <v>16.8</v>
      </c>
      <c r="F26" s="172"/>
      <c r="G26" s="172"/>
      <c r="H26" s="172"/>
      <c r="I26" s="172"/>
      <c r="J26" s="172"/>
      <c r="K26" s="172"/>
      <c r="L26" s="11"/>
      <c r="M26" s="11"/>
      <c r="N26" s="11"/>
      <c r="O26" s="11"/>
      <c r="P26" s="11"/>
      <c r="Q26" s="11"/>
      <c r="R26" s="11"/>
      <c r="S26" s="11"/>
      <c r="T26" s="11"/>
    </row>
    <row r="27" spans="1:20" s="53" customFormat="1">
      <c r="A27" s="48" t="s">
        <v>286</v>
      </c>
      <c r="B27" s="125"/>
      <c r="C27" s="234" t="s">
        <v>873</v>
      </c>
      <c r="D27" s="173" t="s">
        <v>47</v>
      </c>
      <c r="E27" s="172">
        <v>3.69</v>
      </c>
      <c r="F27" s="172"/>
      <c r="G27" s="172"/>
      <c r="H27" s="172"/>
      <c r="I27" s="172"/>
      <c r="J27" s="172"/>
      <c r="K27" s="172"/>
      <c r="L27" s="11"/>
      <c r="M27" s="11"/>
      <c r="N27" s="11"/>
      <c r="O27" s="11"/>
      <c r="P27" s="11"/>
      <c r="Q27" s="11"/>
      <c r="R27" s="11"/>
      <c r="S27" s="11"/>
      <c r="T27" s="11"/>
    </row>
    <row r="28" spans="1:20" s="53" customFormat="1">
      <c r="A28" s="48" t="s">
        <v>288</v>
      </c>
      <c r="B28" s="125"/>
      <c r="C28" s="234" t="s">
        <v>874</v>
      </c>
      <c r="D28" s="173" t="s">
        <v>47</v>
      </c>
      <c r="E28" s="172">
        <v>60.76</v>
      </c>
      <c r="F28" s="172"/>
      <c r="G28" s="172"/>
      <c r="H28" s="172"/>
      <c r="I28" s="172"/>
      <c r="J28" s="172"/>
      <c r="K28" s="172"/>
      <c r="L28" s="11"/>
      <c r="M28" s="11"/>
      <c r="N28" s="11"/>
      <c r="O28" s="11"/>
      <c r="P28" s="11"/>
      <c r="Q28" s="11"/>
      <c r="R28" s="11"/>
      <c r="S28" s="11"/>
      <c r="T28" s="11"/>
    </row>
    <row r="29" spans="1:20" s="53" customFormat="1">
      <c r="A29" s="48" t="s">
        <v>450</v>
      </c>
      <c r="B29" s="125" t="s">
        <v>905</v>
      </c>
      <c r="C29" s="234" t="s">
        <v>875</v>
      </c>
      <c r="D29" s="173" t="s">
        <v>47</v>
      </c>
      <c r="E29" s="172">
        <v>60.76</v>
      </c>
      <c r="F29" s="172"/>
      <c r="G29" s="172"/>
      <c r="H29" s="172"/>
      <c r="I29" s="172"/>
      <c r="J29" s="172"/>
      <c r="K29" s="172"/>
      <c r="L29" s="11"/>
      <c r="M29" s="11"/>
      <c r="N29" s="11"/>
      <c r="O29" s="11"/>
      <c r="P29" s="11"/>
      <c r="Q29" s="11"/>
      <c r="R29" s="11"/>
      <c r="S29" s="11"/>
      <c r="T29" s="11"/>
    </row>
    <row r="30" spans="1:20" s="53" customFormat="1">
      <c r="A30" s="48" t="s">
        <v>451</v>
      </c>
      <c r="B30" s="125"/>
      <c r="C30" s="234" t="s">
        <v>876</v>
      </c>
      <c r="D30" s="173" t="s">
        <v>29</v>
      </c>
      <c r="E30" s="172">
        <v>52.1</v>
      </c>
      <c r="F30" s="172"/>
      <c r="G30" s="172"/>
      <c r="H30" s="172"/>
      <c r="I30" s="172"/>
      <c r="J30" s="172"/>
      <c r="K30" s="172"/>
      <c r="L30" s="11"/>
      <c r="M30" s="11"/>
      <c r="N30" s="11"/>
      <c r="O30" s="11"/>
      <c r="P30" s="11"/>
      <c r="Q30" s="11"/>
      <c r="R30" s="11"/>
      <c r="S30" s="11"/>
      <c r="T30" s="11"/>
    </row>
    <row r="31" spans="1:20" s="53" customFormat="1" ht="24">
      <c r="A31" s="48" t="s">
        <v>452</v>
      </c>
      <c r="B31" s="415" t="s">
        <v>907</v>
      </c>
      <c r="C31" s="234" t="s">
        <v>877</v>
      </c>
      <c r="D31" s="173" t="s">
        <v>890</v>
      </c>
      <c r="E31" s="172">
        <v>572</v>
      </c>
      <c r="F31" s="172"/>
      <c r="G31" s="172"/>
      <c r="H31" s="172"/>
      <c r="I31" s="172"/>
      <c r="J31" s="172"/>
      <c r="K31" s="172"/>
      <c r="L31" s="11"/>
      <c r="M31" s="11"/>
      <c r="N31" s="11"/>
      <c r="O31" s="11"/>
      <c r="P31" s="11"/>
      <c r="Q31" s="11"/>
      <c r="R31" s="11"/>
      <c r="S31" s="11"/>
      <c r="T31" s="11"/>
    </row>
    <row r="32" spans="1:20">
      <c r="A32" s="479" t="s">
        <v>17</v>
      </c>
      <c r="B32" s="480"/>
      <c r="C32" s="480"/>
      <c r="D32" s="480"/>
      <c r="E32" s="480"/>
      <c r="F32" s="480"/>
      <c r="G32" s="480"/>
      <c r="H32" s="480"/>
      <c r="I32" s="481"/>
      <c r="J32" s="22"/>
      <c r="K32" s="22"/>
      <c r="L32" s="77"/>
      <c r="M32" s="11"/>
      <c r="N32" s="11"/>
      <c r="O32" s="11"/>
      <c r="P32" s="11"/>
      <c r="Q32" s="11"/>
      <c r="R32" s="11"/>
      <c r="S32" s="11"/>
      <c r="T32" s="11"/>
    </row>
    <row r="33" spans="1:22" s="74" customFormat="1">
      <c r="A33" s="70" t="s">
        <v>33</v>
      </c>
      <c r="B33" s="477" t="s">
        <v>107</v>
      </c>
      <c r="C33" s="478"/>
      <c r="D33" s="478"/>
      <c r="E33" s="478"/>
      <c r="F33" s="478"/>
      <c r="G33" s="478"/>
      <c r="H33" s="478"/>
      <c r="I33" s="478"/>
      <c r="J33" s="478"/>
      <c r="K33" s="478"/>
      <c r="L33" s="78"/>
      <c r="M33" s="73"/>
      <c r="N33" s="73"/>
      <c r="O33" s="73"/>
      <c r="P33" s="73"/>
      <c r="Q33" s="73"/>
      <c r="R33" s="73"/>
      <c r="S33" s="73"/>
      <c r="T33" s="73"/>
      <c r="U33" s="73"/>
      <c r="V33" s="73"/>
    </row>
    <row r="34" spans="1:22" s="419" customFormat="1" ht="24.75">
      <c r="A34" s="414" t="s">
        <v>34</v>
      </c>
      <c r="B34" s="414"/>
      <c r="C34" s="418" t="s">
        <v>844</v>
      </c>
      <c r="D34" s="334" t="s">
        <v>47</v>
      </c>
      <c r="E34" s="417">
        <v>2.12</v>
      </c>
      <c r="F34" s="408"/>
      <c r="G34" s="408"/>
      <c r="H34" s="408"/>
      <c r="I34" s="408"/>
      <c r="J34" s="408"/>
      <c r="K34" s="417"/>
      <c r="L34" s="411"/>
      <c r="M34" s="398"/>
      <c r="N34" s="398"/>
      <c r="O34" s="398"/>
      <c r="P34" s="398"/>
      <c r="Q34" s="398"/>
      <c r="R34" s="398"/>
      <c r="S34" s="398"/>
      <c r="T34" s="398"/>
      <c r="U34" s="398"/>
      <c r="V34" s="398"/>
    </row>
    <row r="35" spans="1:22" s="81" customFormat="1">
      <c r="A35" s="414" t="s">
        <v>108</v>
      </c>
      <c r="B35" s="197" t="s">
        <v>203</v>
      </c>
      <c r="C35" s="438" t="s">
        <v>533</v>
      </c>
      <c r="D35" s="173" t="s">
        <v>29</v>
      </c>
      <c r="E35" s="288">
        <v>5.29</v>
      </c>
      <c r="F35" s="176"/>
      <c r="G35" s="176"/>
      <c r="H35" s="176"/>
      <c r="I35" s="176"/>
      <c r="J35" s="176"/>
      <c r="K35" s="172"/>
      <c r="L35" s="78"/>
      <c r="M35" s="73"/>
      <c r="N35" s="73"/>
      <c r="O35" s="73"/>
      <c r="P35" s="73"/>
      <c r="Q35" s="73"/>
      <c r="R35" s="73"/>
      <c r="S35" s="73"/>
      <c r="T35" s="73"/>
      <c r="U35" s="73"/>
      <c r="V35" s="73"/>
    </row>
    <row r="36" spans="1:22" s="81" customFormat="1" ht="24.75">
      <c r="A36" s="414" t="s">
        <v>35</v>
      </c>
      <c r="B36" s="414"/>
      <c r="C36" s="418" t="s">
        <v>878</v>
      </c>
      <c r="D36" s="334" t="s">
        <v>29</v>
      </c>
      <c r="E36" s="417">
        <v>260.8</v>
      </c>
      <c r="F36" s="176"/>
      <c r="G36" s="176"/>
      <c r="H36" s="176"/>
      <c r="I36" s="176"/>
      <c r="J36" s="413"/>
      <c r="K36" s="174"/>
      <c r="L36" s="78"/>
      <c r="M36" s="73"/>
      <c r="N36" s="73"/>
      <c r="O36" s="73"/>
      <c r="P36" s="73"/>
      <c r="Q36" s="73"/>
      <c r="R36" s="73"/>
      <c r="S36" s="73"/>
      <c r="T36" s="73"/>
      <c r="U36" s="73"/>
      <c r="V36" s="73"/>
    </row>
    <row r="37" spans="1:22" s="81" customFormat="1" ht="24.75">
      <c r="A37" s="414" t="s">
        <v>36</v>
      </c>
      <c r="B37" s="414"/>
      <c r="C37" s="418" t="s">
        <v>879</v>
      </c>
      <c r="D37" s="334" t="s">
        <v>29</v>
      </c>
      <c r="E37" s="417">
        <v>593.4</v>
      </c>
      <c r="F37" s="176"/>
      <c r="G37" s="176"/>
      <c r="H37" s="176"/>
      <c r="I37" s="176"/>
      <c r="J37" s="413"/>
      <c r="K37" s="174"/>
      <c r="L37" s="78"/>
      <c r="M37" s="73"/>
      <c r="N37" s="73"/>
      <c r="O37" s="73"/>
      <c r="P37" s="73"/>
      <c r="Q37" s="73"/>
      <c r="R37" s="73"/>
      <c r="S37" s="73"/>
      <c r="T37" s="73"/>
      <c r="U37" s="73"/>
      <c r="V37" s="73"/>
    </row>
    <row r="38" spans="1:22" s="81" customFormat="1">
      <c r="A38" s="414" t="s">
        <v>37</v>
      </c>
      <c r="B38" s="125" t="s">
        <v>904</v>
      </c>
      <c r="C38" s="418" t="s">
        <v>880</v>
      </c>
      <c r="D38" s="334" t="s">
        <v>47</v>
      </c>
      <c r="E38" s="417">
        <v>34.4</v>
      </c>
      <c r="F38" s="176"/>
      <c r="G38" s="176"/>
      <c r="H38" s="176"/>
      <c r="I38" s="176"/>
      <c r="J38" s="413"/>
      <c r="K38" s="174"/>
      <c r="L38" s="78"/>
      <c r="M38" s="73"/>
      <c r="N38" s="73"/>
      <c r="O38" s="73"/>
      <c r="P38" s="73"/>
      <c r="Q38" s="73"/>
      <c r="R38" s="73"/>
      <c r="S38" s="73"/>
      <c r="T38" s="73"/>
      <c r="U38" s="73"/>
      <c r="V38" s="73"/>
    </row>
    <row r="39" spans="1:22" s="81" customFormat="1">
      <c r="A39" s="414" t="s">
        <v>454</v>
      </c>
      <c r="B39" s="414" t="s">
        <v>906</v>
      </c>
      <c r="C39" s="418" t="s">
        <v>881</v>
      </c>
      <c r="D39" s="334" t="s">
        <v>47</v>
      </c>
      <c r="E39" s="417">
        <v>34.4</v>
      </c>
      <c r="F39" s="176"/>
      <c r="G39" s="176"/>
      <c r="H39" s="176"/>
      <c r="I39" s="176"/>
      <c r="J39" s="413"/>
      <c r="K39" s="174"/>
      <c r="L39" s="78"/>
      <c r="M39" s="73"/>
      <c r="N39" s="73"/>
      <c r="O39" s="73"/>
      <c r="P39" s="73"/>
      <c r="Q39" s="73"/>
      <c r="R39" s="73"/>
      <c r="S39" s="73"/>
      <c r="T39" s="73"/>
      <c r="U39" s="73"/>
      <c r="V39" s="73"/>
    </row>
    <row r="40" spans="1:22" s="81" customFormat="1">
      <c r="A40" s="414" t="s">
        <v>455</v>
      </c>
      <c r="B40" s="125" t="s">
        <v>904</v>
      </c>
      <c r="C40" s="418" t="s">
        <v>882</v>
      </c>
      <c r="D40" s="334" t="s">
        <v>47</v>
      </c>
      <c r="E40" s="417">
        <v>14.7</v>
      </c>
      <c r="F40" s="176"/>
      <c r="G40" s="176"/>
      <c r="H40" s="176"/>
      <c r="I40" s="176"/>
      <c r="J40" s="413"/>
      <c r="K40" s="174"/>
      <c r="L40" s="78"/>
      <c r="M40" s="73"/>
      <c r="N40" s="73"/>
      <c r="O40" s="73"/>
      <c r="P40" s="73"/>
      <c r="Q40" s="73"/>
      <c r="R40" s="73"/>
      <c r="S40" s="73"/>
      <c r="T40" s="73"/>
      <c r="U40" s="73"/>
      <c r="V40" s="73"/>
    </row>
    <row r="41" spans="1:22" s="81" customFormat="1">
      <c r="A41" s="414" t="s">
        <v>456</v>
      </c>
      <c r="B41" s="414" t="s">
        <v>906</v>
      </c>
      <c r="C41" s="418" t="s">
        <v>883</v>
      </c>
      <c r="D41" s="334" t="s">
        <v>47</v>
      </c>
      <c r="E41" s="417">
        <v>14.7</v>
      </c>
      <c r="F41" s="176"/>
      <c r="G41" s="176"/>
      <c r="H41" s="176"/>
      <c r="I41" s="176"/>
      <c r="J41" s="413"/>
      <c r="K41" s="174"/>
      <c r="L41" s="78"/>
      <c r="M41" s="73"/>
      <c r="N41" s="73"/>
      <c r="O41" s="73"/>
      <c r="P41" s="73"/>
      <c r="Q41" s="73"/>
      <c r="R41" s="73"/>
      <c r="S41" s="73"/>
      <c r="T41" s="73"/>
      <c r="U41" s="73"/>
      <c r="V41" s="73"/>
    </row>
    <row r="42" spans="1:22" s="81" customFormat="1" ht="24">
      <c r="A42" s="414" t="s">
        <v>557</v>
      </c>
      <c r="B42" s="415" t="s">
        <v>907</v>
      </c>
      <c r="C42" s="418" t="s">
        <v>884</v>
      </c>
      <c r="D42" s="334" t="s">
        <v>890</v>
      </c>
      <c r="E42" s="417">
        <v>1729.4</v>
      </c>
      <c r="F42" s="176"/>
      <c r="G42" s="176"/>
      <c r="H42" s="176"/>
      <c r="I42" s="176"/>
      <c r="J42" s="413"/>
      <c r="K42" s="174"/>
      <c r="L42" s="78"/>
      <c r="M42" s="73"/>
      <c r="N42" s="73"/>
      <c r="O42" s="73"/>
      <c r="P42" s="73"/>
      <c r="Q42" s="73"/>
      <c r="R42" s="73"/>
      <c r="S42" s="73"/>
      <c r="T42" s="73"/>
      <c r="U42" s="73"/>
      <c r="V42" s="73"/>
    </row>
    <row r="43" spans="1:22" s="81" customFormat="1">
      <c r="A43" s="414" t="s">
        <v>558</v>
      </c>
      <c r="B43" s="125" t="s">
        <v>832</v>
      </c>
      <c r="C43" s="418" t="s">
        <v>885</v>
      </c>
      <c r="D43" s="334" t="s">
        <v>890</v>
      </c>
      <c r="E43" s="417">
        <v>343.7</v>
      </c>
      <c r="F43" s="176"/>
      <c r="G43" s="176"/>
      <c r="H43" s="176"/>
      <c r="I43" s="176"/>
      <c r="J43" s="413"/>
      <c r="K43" s="174"/>
      <c r="L43" s="78"/>
      <c r="M43" s="73"/>
      <c r="N43" s="73"/>
      <c r="O43" s="73"/>
      <c r="P43" s="73"/>
      <c r="Q43" s="73"/>
      <c r="R43" s="73"/>
      <c r="S43" s="73"/>
      <c r="T43" s="73"/>
      <c r="U43" s="73"/>
      <c r="V43" s="73"/>
    </row>
    <row r="44" spans="1:22" s="81" customFormat="1" ht="24">
      <c r="A44" s="414" t="s">
        <v>893</v>
      </c>
      <c r="B44" s="415" t="s">
        <v>907</v>
      </c>
      <c r="C44" s="418" t="s">
        <v>886</v>
      </c>
      <c r="D44" s="334" t="s">
        <v>890</v>
      </c>
      <c r="E44" s="417">
        <v>2289.8000000000002</v>
      </c>
      <c r="F44" s="176"/>
      <c r="G44" s="176"/>
      <c r="H44" s="176"/>
      <c r="I44" s="176"/>
      <c r="J44" s="413"/>
      <c r="K44" s="174"/>
      <c r="L44" s="78"/>
      <c r="M44" s="73"/>
      <c r="N44" s="73"/>
      <c r="O44" s="73"/>
      <c r="P44" s="73"/>
      <c r="Q44" s="73"/>
      <c r="R44" s="73"/>
      <c r="S44" s="73"/>
      <c r="T44" s="73"/>
      <c r="U44" s="73"/>
      <c r="V44" s="73"/>
    </row>
    <row r="45" spans="1:22" s="81" customFormat="1">
      <c r="A45" s="414" t="s">
        <v>894</v>
      </c>
      <c r="B45" s="125" t="s">
        <v>832</v>
      </c>
      <c r="C45" s="418" t="s">
        <v>887</v>
      </c>
      <c r="D45" s="334" t="s">
        <v>890</v>
      </c>
      <c r="E45" s="417">
        <v>662.9</v>
      </c>
      <c r="F45" s="176"/>
      <c r="G45" s="176"/>
      <c r="H45" s="176"/>
      <c r="I45" s="176"/>
      <c r="J45" s="413"/>
      <c r="K45" s="174"/>
      <c r="L45" s="78"/>
      <c r="M45" s="73"/>
      <c r="N45" s="73"/>
      <c r="O45" s="73"/>
      <c r="P45" s="73"/>
      <c r="Q45" s="73"/>
      <c r="R45" s="73"/>
      <c r="S45" s="73"/>
      <c r="T45" s="73"/>
      <c r="U45" s="73"/>
      <c r="V45" s="73"/>
    </row>
    <row r="46" spans="1:22" s="81" customFormat="1" ht="36.75">
      <c r="A46" s="414" t="s">
        <v>895</v>
      </c>
      <c r="B46" s="414"/>
      <c r="C46" s="418" t="s">
        <v>927</v>
      </c>
      <c r="D46" s="334" t="s">
        <v>29</v>
      </c>
      <c r="E46" s="417">
        <v>522.61</v>
      </c>
      <c r="F46" s="176"/>
      <c r="G46" s="176"/>
      <c r="H46" s="176"/>
      <c r="I46" s="176"/>
      <c r="J46" s="413"/>
      <c r="K46" s="174"/>
      <c r="L46" s="78"/>
      <c r="M46" s="73"/>
      <c r="N46" s="73"/>
      <c r="O46" s="73"/>
      <c r="P46" s="73"/>
      <c r="Q46" s="73"/>
      <c r="R46" s="73"/>
      <c r="S46" s="73"/>
      <c r="T46" s="73"/>
      <c r="U46" s="73"/>
      <c r="V46" s="73"/>
    </row>
    <row r="47" spans="1:22" s="81" customFormat="1">
      <c r="A47" s="414" t="s">
        <v>896</v>
      </c>
      <c r="B47" s="414"/>
      <c r="C47" s="418" t="s">
        <v>908</v>
      </c>
      <c r="D47" s="334" t="s">
        <v>27</v>
      </c>
      <c r="E47" s="417">
        <v>5787</v>
      </c>
      <c r="F47" s="176"/>
      <c r="G47" s="176"/>
      <c r="H47" s="176"/>
      <c r="I47" s="176"/>
      <c r="J47" s="413"/>
      <c r="K47" s="174"/>
      <c r="L47" s="78"/>
      <c r="M47" s="73"/>
      <c r="N47" s="73"/>
      <c r="O47" s="73"/>
      <c r="P47" s="73"/>
      <c r="Q47" s="73"/>
      <c r="R47" s="73"/>
      <c r="S47" s="73"/>
      <c r="T47" s="73"/>
      <c r="U47" s="73"/>
      <c r="V47" s="73"/>
    </row>
    <row r="48" spans="1:22" s="81" customFormat="1">
      <c r="A48" s="414" t="s">
        <v>897</v>
      </c>
      <c r="B48" s="125" t="s">
        <v>904</v>
      </c>
      <c r="C48" s="418" t="s">
        <v>911</v>
      </c>
      <c r="D48" s="334" t="s">
        <v>47</v>
      </c>
      <c r="E48" s="417">
        <v>24.6</v>
      </c>
      <c r="F48" s="176"/>
      <c r="G48" s="176"/>
      <c r="H48" s="176"/>
      <c r="I48" s="176"/>
      <c r="J48" s="413"/>
      <c r="K48" s="174"/>
      <c r="L48" s="78"/>
      <c r="M48" s="73"/>
      <c r="N48" s="73"/>
      <c r="O48" s="73"/>
      <c r="P48" s="73"/>
      <c r="Q48" s="73"/>
      <c r="R48" s="73"/>
      <c r="S48" s="73"/>
      <c r="T48" s="73"/>
      <c r="U48" s="73"/>
      <c r="V48" s="73"/>
    </row>
    <row r="49" spans="1:22" s="81" customFormat="1">
      <c r="A49" s="414" t="s">
        <v>898</v>
      </c>
      <c r="B49" s="414" t="s">
        <v>906</v>
      </c>
      <c r="C49" s="418" t="s">
        <v>888</v>
      </c>
      <c r="D49" s="334" t="s">
        <v>47</v>
      </c>
      <c r="E49" s="417">
        <v>24.6</v>
      </c>
      <c r="F49" s="176"/>
      <c r="G49" s="176"/>
      <c r="H49" s="176"/>
      <c r="I49" s="176"/>
      <c r="J49" s="413"/>
      <c r="K49" s="174"/>
      <c r="L49" s="78"/>
      <c r="M49" s="73"/>
      <c r="N49" s="73"/>
      <c r="O49" s="73"/>
      <c r="P49" s="73"/>
      <c r="Q49" s="73"/>
      <c r="R49" s="73"/>
      <c r="S49" s="73"/>
      <c r="T49" s="73"/>
      <c r="U49" s="73"/>
      <c r="V49" s="73"/>
    </row>
    <row r="50" spans="1:22" s="81" customFormat="1" ht="24.75">
      <c r="A50" s="414" t="s">
        <v>899</v>
      </c>
      <c r="B50" s="414"/>
      <c r="C50" s="418" t="s">
        <v>916</v>
      </c>
      <c r="D50" s="334" t="s">
        <v>29</v>
      </c>
      <c r="E50" s="417">
        <v>85</v>
      </c>
      <c r="F50" s="176"/>
      <c r="G50" s="176"/>
      <c r="H50" s="176"/>
      <c r="I50" s="176"/>
      <c r="J50" s="413"/>
      <c r="K50" s="174"/>
      <c r="L50" s="78"/>
      <c r="M50" s="73"/>
      <c r="N50" s="73"/>
      <c r="O50" s="73"/>
      <c r="P50" s="73"/>
      <c r="Q50" s="73"/>
      <c r="R50" s="73"/>
      <c r="S50" s="73"/>
      <c r="T50" s="73"/>
      <c r="U50" s="73"/>
      <c r="V50" s="73"/>
    </row>
    <row r="51" spans="1:22" s="81" customFormat="1" ht="24.75">
      <c r="A51" s="414" t="s">
        <v>900</v>
      </c>
      <c r="B51" s="415" t="s">
        <v>907</v>
      </c>
      <c r="C51" s="418" t="s">
        <v>917</v>
      </c>
      <c r="D51" s="334" t="s">
        <v>890</v>
      </c>
      <c r="E51" s="417">
        <v>194.6</v>
      </c>
      <c r="F51" s="176"/>
      <c r="G51" s="176"/>
      <c r="H51" s="176"/>
      <c r="I51" s="176"/>
      <c r="J51" s="413"/>
      <c r="K51" s="174"/>
      <c r="L51" s="78"/>
      <c r="M51" s="73"/>
      <c r="N51" s="73"/>
      <c r="O51" s="73"/>
      <c r="P51" s="73"/>
      <c r="Q51" s="73"/>
      <c r="R51" s="73"/>
      <c r="S51" s="73"/>
      <c r="T51" s="73"/>
      <c r="U51" s="73"/>
      <c r="V51" s="73"/>
    </row>
    <row r="52" spans="1:22" s="81" customFormat="1" ht="24.75">
      <c r="A52" s="414" t="s">
        <v>901</v>
      </c>
      <c r="B52" s="125" t="s">
        <v>832</v>
      </c>
      <c r="C52" s="418" t="s">
        <v>918</v>
      </c>
      <c r="D52" s="334" t="s">
        <v>890</v>
      </c>
      <c r="E52" s="417">
        <v>89.7</v>
      </c>
      <c r="F52" s="176"/>
      <c r="G52" s="176"/>
      <c r="H52" s="176"/>
      <c r="I52" s="176"/>
      <c r="J52" s="413"/>
      <c r="K52" s="174"/>
      <c r="L52" s="78"/>
      <c r="M52" s="73"/>
      <c r="N52" s="73"/>
      <c r="O52" s="73"/>
      <c r="P52" s="73"/>
      <c r="Q52" s="73"/>
      <c r="R52" s="73"/>
      <c r="S52" s="73"/>
      <c r="T52" s="73"/>
      <c r="U52" s="73"/>
      <c r="V52" s="73"/>
    </row>
    <row r="53" spans="1:22" s="81" customFormat="1">
      <c r="A53" s="414" t="s">
        <v>902</v>
      </c>
      <c r="B53" s="414"/>
      <c r="C53" s="418" t="s">
        <v>892</v>
      </c>
      <c r="D53" s="334" t="s">
        <v>28</v>
      </c>
      <c r="E53" s="417">
        <v>46.2</v>
      </c>
      <c r="F53" s="176"/>
      <c r="G53" s="176"/>
      <c r="H53" s="176"/>
      <c r="I53" s="176"/>
      <c r="J53" s="413"/>
      <c r="K53" s="174"/>
      <c r="L53" s="78"/>
      <c r="M53" s="73"/>
      <c r="N53" s="73"/>
      <c r="O53" s="73"/>
      <c r="P53" s="73"/>
      <c r="Q53" s="73"/>
      <c r="R53" s="73"/>
      <c r="S53" s="73"/>
      <c r="T53" s="73"/>
      <c r="U53" s="73"/>
      <c r="V53" s="73"/>
    </row>
    <row r="54" spans="1:22" s="74" customFormat="1">
      <c r="A54" s="496" t="s">
        <v>18</v>
      </c>
      <c r="B54" s="496"/>
      <c r="C54" s="497"/>
      <c r="D54" s="497"/>
      <c r="E54" s="497"/>
      <c r="F54" s="497"/>
      <c r="G54" s="497"/>
      <c r="H54" s="497"/>
      <c r="I54" s="497"/>
      <c r="J54" s="22"/>
      <c r="K54" s="22"/>
      <c r="L54" s="79"/>
      <c r="M54" s="73"/>
      <c r="N54" s="73"/>
      <c r="O54" s="73"/>
      <c r="P54" s="73"/>
      <c r="Q54" s="73"/>
      <c r="R54" s="73"/>
      <c r="S54" s="73"/>
      <c r="T54" s="73"/>
      <c r="U54" s="73"/>
      <c r="V54" s="73"/>
    </row>
    <row r="55" spans="1:22" s="81" customFormat="1">
      <c r="A55" s="80" t="s">
        <v>38</v>
      </c>
      <c r="B55" s="456" t="s">
        <v>180</v>
      </c>
      <c r="C55" s="457"/>
      <c r="D55" s="457"/>
      <c r="E55" s="457"/>
      <c r="F55" s="457"/>
      <c r="G55" s="457"/>
      <c r="H55" s="457"/>
      <c r="I55" s="457"/>
      <c r="J55" s="457"/>
      <c r="K55" s="485"/>
      <c r="L55" s="78"/>
      <c r="M55" s="73"/>
      <c r="N55" s="73"/>
      <c r="O55" s="73"/>
      <c r="P55" s="73"/>
      <c r="Q55" s="73"/>
      <c r="R55" s="73"/>
      <c r="S55" s="73"/>
      <c r="T55" s="73"/>
      <c r="U55" s="73"/>
      <c r="V55" s="73"/>
    </row>
    <row r="56" spans="1:22" s="53" customFormat="1" ht="24.75">
      <c r="A56" s="48" t="s">
        <v>39</v>
      </c>
      <c r="B56" s="195" t="s">
        <v>181</v>
      </c>
      <c r="C56" s="58" t="s">
        <v>182</v>
      </c>
      <c r="D56" s="50" t="s">
        <v>29</v>
      </c>
      <c r="E56" s="54">
        <f>(4.13*(13.9))+(2.85*(3.15+3.15+3.15+3.5+4.9+14.58+4.55+2.5+3.55+4.75+((2.5+1.65)*9)+3+1.7+2.8+2.8))+(0.56*109.8)</f>
        <v>390.87049999999999</v>
      </c>
      <c r="F56" s="47"/>
      <c r="G56" s="47"/>
      <c r="H56" s="47"/>
      <c r="I56" s="47"/>
      <c r="J56" s="47"/>
      <c r="K56" s="82"/>
      <c r="L56" s="77"/>
      <c r="M56" s="11"/>
      <c r="N56" s="11"/>
      <c r="O56" s="11"/>
      <c r="P56" s="11"/>
      <c r="Q56" s="11"/>
      <c r="R56" s="11"/>
      <c r="S56" s="11"/>
      <c r="T56" s="11"/>
    </row>
    <row r="57" spans="1:22" s="53" customFormat="1" ht="24.75">
      <c r="A57" s="48" t="s">
        <v>40</v>
      </c>
      <c r="B57" s="195" t="s">
        <v>183</v>
      </c>
      <c r="C57" s="58" t="s">
        <v>184</v>
      </c>
      <c r="D57" s="50" t="s">
        <v>29</v>
      </c>
      <c r="E57" s="54">
        <f>2.85*(117.6+14.2+9.85+10.25+9.35+9+9.35+9+9.35+9+5.15)</f>
        <v>604.4849999999999</v>
      </c>
      <c r="F57" s="47"/>
      <c r="G57" s="47"/>
      <c r="H57" s="47"/>
      <c r="I57" s="47"/>
      <c r="J57" s="47"/>
      <c r="K57" s="47"/>
      <c r="L57" s="11"/>
      <c r="M57" s="11"/>
      <c r="N57" s="11"/>
      <c r="O57" s="11"/>
      <c r="P57" s="11"/>
      <c r="Q57" s="11"/>
      <c r="R57" s="11"/>
      <c r="S57" s="11"/>
      <c r="T57" s="11"/>
    </row>
    <row r="58" spans="1:22" s="53" customFormat="1" ht="24.75">
      <c r="A58" s="48" t="s">
        <v>41</v>
      </c>
      <c r="B58" s="180">
        <v>72131</v>
      </c>
      <c r="C58" s="167" t="s">
        <v>512</v>
      </c>
      <c r="D58" s="165" t="s">
        <v>29</v>
      </c>
      <c r="E58" s="117">
        <f>2*0.9</f>
        <v>1.8</v>
      </c>
      <c r="F58" s="117"/>
      <c r="G58" s="117"/>
      <c r="H58" s="117"/>
      <c r="I58" s="117"/>
      <c r="J58" s="117"/>
      <c r="K58" s="47"/>
      <c r="L58" s="11"/>
      <c r="M58" s="11"/>
      <c r="N58" s="11"/>
      <c r="O58" s="11"/>
      <c r="P58" s="11"/>
      <c r="Q58" s="11"/>
      <c r="R58" s="11"/>
      <c r="S58" s="11"/>
      <c r="T58" s="11"/>
    </row>
    <row r="59" spans="1:22" s="53" customFormat="1" ht="24" customHeight="1">
      <c r="A59" s="48" t="s">
        <v>42</v>
      </c>
      <c r="B59" s="195" t="s">
        <v>185</v>
      </c>
      <c r="C59" s="58" t="s">
        <v>186</v>
      </c>
      <c r="D59" s="50" t="s">
        <v>47</v>
      </c>
      <c r="E59" s="47">
        <f>(0.2*0.1)*(2.4+(3.8*4)+(1.4*17)+(1.1*24)+(1.1*4)+(2.1*4)+(2.2*20)+(1.3*9))</f>
        <v>2.7260000000000009</v>
      </c>
      <c r="F59" s="47"/>
      <c r="G59" s="47"/>
      <c r="H59" s="47"/>
      <c r="I59" s="47"/>
      <c r="J59" s="47"/>
      <c r="K59" s="47"/>
      <c r="L59" s="11"/>
      <c r="M59" s="11"/>
      <c r="N59" s="11"/>
      <c r="O59" s="11"/>
      <c r="P59" s="11"/>
      <c r="Q59" s="11"/>
      <c r="R59" s="11"/>
      <c r="S59" s="11"/>
      <c r="T59" s="11"/>
    </row>
    <row r="60" spans="1:22" s="53" customFormat="1" ht="24.75">
      <c r="A60" s="48" t="s">
        <v>457</v>
      </c>
      <c r="B60" s="197">
        <v>9875</v>
      </c>
      <c r="C60" s="58" t="s">
        <v>241</v>
      </c>
      <c r="D60" s="50" t="s">
        <v>29</v>
      </c>
      <c r="E60" s="47">
        <f>2.1*(11.78+2.5)</f>
        <v>29.988</v>
      </c>
      <c r="F60" s="47"/>
      <c r="G60" s="47"/>
      <c r="H60" s="47"/>
      <c r="I60" s="47"/>
      <c r="J60" s="47"/>
      <c r="K60" s="82"/>
      <c r="L60" s="77"/>
      <c r="M60" s="11"/>
      <c r="N60" s="11"/>
      <c r="O60" s="11"/>
      <c r="P60" s="11"/>
      <c r="Q60" s="11"/>
      <c r="R60" s="11"/>
      <c r="S60" s="11"/>
      <c r="T60" s="11"/>
    </row>
    <row r="61" spans="1:22" s="74" customFormat="1">
      <c r="A61" s="496" t="s">
        <v>73</v>
      </c>
      <c r="B61" s="496"/>
      <c r="C61" s="497"/>
      <c r="D61" s="497"/>
      <c r="E61" s="497"/>
      <c r="F61" s="497"/>
      <c r="G61" s="497"/>
      <c r="H61" s="497"/>
      <c r="I61" s="497"/>
      <c r="J61" s="22"/>
      <c r="K61" s="22"/>
      <c r="L61" s="79"/>
      <c r="M61" s="73"/>
      <c r="N61" s="73"/>
      <c r="O61" s="73"/>
      <c r="P61" s="73"/>
      <c r="Q61" s="73"/>
      <c r="R61" s="73"/>
      <c r="S61" s="73"/>
      <c r="T61" s="73"/>
      <c r="U61" s="73"/>
      <c r="V61" s="73"/>
    </row>
    <row r="62" spans="1:22" s="53" customFormat="1" ht="15.75" customHeight="1">
      <c r="A62" s="60" t="s">
        <v>68</v>
      </c>
      <c r="B62" s="458" t="s">
        <v>104</v>
      </c>
      <c r="C62" s="459"/>
      <c r="D62" s="459"/>
      <c r="E62" s="459"/>
      <c r="F62" s="459"/>
      <c r="G62" s="459"/>
      <c r="H62" s="459"/>
      <c r="I62" s="459"/>
      <c r="J62" s="459"/>
      <c r="K62" s="473"/>
      <c r="L62" s="77"/>
      <c r="M62" s="11"/>
      <c r="N62" s="11"/>
      <c r="O62" s="11"/>
      <c r="P62" s="11"/>
      <c r="Q62" s="11"/>
      <c r="R62" s="11"/>
      <c r="S62" s="11"/>
      <c r="T62" s="11"/>
    </row>
    <row r="63" spans="1:22" s="53" customFormat="1" ht="15.75" customHeight="1">
      <c r="A63" s="198" t="s">
        <v>69</v>
      </c>
      <c r="B63" s="199" t="s">
        <v>191</v>
      </c>
      <c r="C63" s="58" t="s">
        <v>192</v>
      </c>
      <c r="D63" s="50" t="s">
        <v>29</v>
      </c>
      <c r="E63" s="54">
        <f>E222+E223</f>
        <v>37.245000000000005</v>
      </c>
      <c r="F63" s="54"/>
      <c r="G63" s="54"/>
      <c r="H63" s="54"/>
      <c r="I63" s="54"/>
      <c r="J63" s="54"/>
      <c r="K63" s="47"/>
      <c r="L63" s="11"/>
      <c r="M63" s="11"/>
      <c r="N63" s="11"/>
      <c r="O63" s="11"/>
      <c r="P63" s="11"/>
      <c r="Q63" s="11"/>
      <c r="R63" s="11"/>
      <c r="S63" s="11"/>
      <c r="T63" s="11"/>
    </row>
    <row r="64" spans="1:22" s="53" customFormat="1" ht="15.75" customHeight="1">
      <c r="A64" s="198" t="s">
        <v>70</v>
      </c>
      <c r="B64" s="182" t="s">
        <v>252</v>
      </c>
      <c r="C64" s="167" t="s">
        <v>516</v>
      </c>
      <c r="D64" s="165" t="s">
        <v>29</v>
      </c>
      <c r="E64" s="54">
        <f>(4.5*1*4)+(4.7*1*1)+(2.2*1*2)+(1*3.55*1)+(3.25*2.5*2)</f>
        <v>46.900000000000006</v>
      </c>
      <c r="F64" s="54"/>
      <c r="G64" s="54"/>
      <c r="H64" s="54"/>
      <c r="I64" s="54"/>
      <c r="J64" s="54"/>
      <c r="K64" s="47"/>
      <c r="L64" s="11"/>
      <c r="M64" s="11"/>
      <c r="N64" s="11"/>
      <c r="O64" s="11"/>
      <c r="P64" s="11"/>
      <c r="Q64" s="11"/>
      <c r="R64" s="11"/>
      <c r="S64" s="11"/>
      <c r="T64" s="11"/>
    </row>
    <row r="65" spans="1:20" s="53" customFormat="1" ht="15.75" customHeight="1">
      <c r="A65" s="198" t="s">
        <v>71</v>
      </c>
      <c r="B65" s="182" t="s">
        <v>524</v>
      </c>
      <c r="C65" s="167" t="s">
        <v>525</v>
      </c>
      <c r="D65" s="165" t="s">
        <v>28</v>
      </c>
      <c r="E65" s="54">
        <f>6.29+4.31+9.08+12.61</f>
        <v>32.29</v>
      </c>
      <c r="F65" s="54"/>
      <c r="G65" s="54"/>
      <c r="H65" s="54"/>
      <c r="I65" s="54"/>
      <c r="J65" s="54"/>
      <c r="K65" s="47"/>
      <c r="L65" s="11"/>
      <c r="M65" s="11"/>
      <c r="N65" s="11"/>
      <c r="O65" s="11"/>
      <c r="P65" s="11"/>
      <c r="Q65" s="11"/>
      <c r="R65" s="11"/>
      <c r="S65" s="11"/>
      <c r="T65" s="11"/>
    </row>
    <row r="66" spans="1:20" s="53" customFormat="1" ht="15.75" customHeight="1">
      <c r="A66" s="198" t="s">
        <v>72</v>
      </c>
      <c r="B66" s="182" t="s">
        <v>526</v>
      </c>
      <c r="C66" s="167" t="s">
        <v>527</v>
      </c>
      <c r="D66" s="165" t="s">
        <v>28</v>
      </c>
      <c r="E66" s="54">
        <f>4.07+8.42+8.42+8.42+4.07+4.31+4.41+1.61+14.58+78+1.65</f>
        <v>137.96</v>
      </c>
      <c r="F66" s="54"/>
      <c r="G66" s="54"/>
      <c r="H66" s="54"/>
      <c r="I66" s="54"/>
      <c r="J66" s="54"/>
      <c r="K66" s="47"/>
      <c r="L66" s="11"/>
      <c r="M66" s="11"/>
      <c r="N66" s="11"/>
      <c r="O66" s="11"/>
      <c r="P66" s="11"/>
      <c r="Q66" s="11"/>
      <c r="R66" s="11"/>
      <c r="S66" s="11"/>
      <c r="T66" s="11"/>
    </row>
    <row r="67" spans="1:20" s="53" customFormat="1" ht="15.75" customHeight="1">
      <c r="A67" s="198" t="s">
        <v>74</v>
      </c>
      <c r="B67" s="182" t="s">
        <v>535</v>
      </c>
      <c r="C67" s="167" t="s">
        <v>536</v>
      </c>
      <c r="D67" s="165" t="s">
        <v>27</v>
      </c>
      <c r="E67" s="54">
        <v>1</v>
      </c>
      <c r="F67" s="54"/>
      <c r="G67" s="54"/>
      <c r="H67" s="54"/>
      <c r="I67" s="54"/>
      <c r="J67" s="54"/>
      <c r="K67" s="47"/>
      <c r="L67" s="11"/>
      <c r="M67" s="11"/>
      <c r="N67" s="11"/>
      <c r="O67" s="11"/>
      <c r="P67" s="11"/>
      <c r="Q67" s="11"/>
      <c r="R67" s="11"/>
      <c r="S67" s="11"/>
      <c r="T67" s="11"/>
    </row>
    <row r="68" spans="1:20" s="53" customFormat="1" ht="15.75" customHeight="1">
      <c r="A68" s="198" t="s">
        <v>75</v>
      </c>
      <c r="B68" s="182"/>
      <c r="C68" s="167" t="s">
        <v>595</v>
      </c>
      <c r="D68" s="165" t="s">
        <v>27</v>
      </c>
      <c r="E68" s="54">
        <v>6</v>
      </c>
      <c r="F68" s="54"/>
      <c r="G68" s="54"/>
      <c r="H68" s="54"/>
      <c r="I68" s="54"/>
      <c r="J68" s="54"/>
      <c r="K68" s="47"/>
      <c r="L68" s="11"/>
      <c r="M68" s="11"/>
      <c r="N68" s="11"/>
      <c r="O68" s="11"/>
      <c r="P68" s="11"/>
      <c r="Q68" s="11"/>
      <c r="R68" s="11"/>
      <c r="S68" s="11"/>
      <c r="T68" s="11"/>
    </row>
    <row r="69" spans="1:20" s="53" customFormat="1" ht="15.75" customHeight="1">
      <c r="A69" s="198" t="s">
        <v>76</v>
      </c>
      <c r="B69" s="182"/>
      <c r="C69" s="167" t="s">
        <v>597</v>
      </c>
      <c r="D69" s="165" t="s">
        <v>27</v>
      </c>
      <c r="E69" s="54">
        <v>2</v>
      </c>
      <c r="F69" s="54"/>
      <c r="G69" s="54"/>
      <c r="H69" s="54"/>
      <c r="I69" s="54"/>
      <c r="J69" s="54"/>
      <c r="K69" s="47"/>
      <c r="L69" s="11"/>
      <c r="M69" s="11"/>
      <c r="N69" s="11"/>
      <c r="O69" s="11"/>
      <c r="P69" s="11"/>
      <c r="Q69" s="11"/>
      <c r="R69" s="11"/>
      <c r="S69" s="11"/>
      <c r="T69" s="11"/>
    </row>
    <row r="70" spans="1:20" s="53" customFormat="1" ht="15.75" customHeight="1">
      <c r="A70" s="198" t="s">
        <v>77</v>
      </c>
      <c r="B70" s="182"/>
      <c r="C70" s="167" t="s">
        <v>598</v>
      </c>
      <c r="D70" s="165" t="s">
        <v>27</v>
      </c>
      <c r="E70" s="54">
        <v>1</v>
      </c>
      <c r="F70" s="54"/>
      <c r="G70" s="54"/>
      <c r="H70" s="54"/>
      <c r="I70" s="54"/>
      <c r="J70" s="54"/>
      <c r="K70" s="47"/>
      <c r="L70" s="11"/>
      <c r="M70" s="11"/>
      <c r="N70" s="11"/>
      <c r="O70" s="11"/>
      <c r="P70" s="11"/>
      <c r="Q70" s="11"/>
      <c r="R70" s="11"/>
      <c r="S70" s="11"/>
      <c r="T70" s="11"/>
    </row>
    <row r="71" spans="1:20" s="53" customFormat="1" ht="15.75" customHeight="1">
      <c r="A71" s="198" t="s">
        <v>78</v>
      </c>
      <c r="B71" s="182"/>
      <c r="C71" s="167" t="s">
        <v>596</v>
      </c>
      <c r="D71" s="165" t="s">
        <v>27</v>
      </c>
      <c r="E71" s="54">
        <v>3</v>
      </c>
      <c r="F71" s="54"/>
      <c r="G71" s="54"/>
      <c r="H71" s="54"/>
      <c r="I71" s="54"/>
      <c r="J71" s="54"/>
      <c r="K71" s="47"/>
      <c r="L71" s="11"/>
      <c r="M71" s="11"/>
      <c r="N71" s="11"/>
      <c r="O71" s="11"/>
      <c r="P71" s="11"/>
      <c r="Q71" s="11"/>
      <c r="R71" s="11"/>
      <c r="S71" s="11"/>
      <c r="T71" s="11"/>
    </row>
    <row r="72" spans="1:20" s="53" customFormat="1" ht="15.75" customHeight="1">
      <c r="A72" s="198" t="s">
        <v>79</v>
      </c>
      <c r="B72" s="182"/>
      <c r="C72" s="167" t="s">
        <v>599</v>
      </c>
      <c r="D72" s="165" t="s">
        <v>27</v>
      </c>
      <c r="E72" s="54">
        <v>1</v>
      </c>
      <c r="F72" s="54"/>
      <c r="G72" s="54"/>
      <c r="H72" s="54"/>
      <c r="I72" s="54"/>
      <c r="J72" s="54"/>
      <c r="K72" s="47"/>
      <c r="L72" s="11"/>
      <c r="M72" s="11"/>
      <c r="N72" s="11"/>
      <c r="O72" s="11"/>
      <c r="P72" s="11"/>
      <c r="Q72" s="11"/>
      <c r="R72" s="11"/>
      <c r="S72" s="11"/>
      <c r="T72" s="11"/>
    </row>
    <row r="73" spans="1:20" s="53" customFormat="1" ht="24.75">
      <c r="A73" s="198" t="s">
        <v>80</v>
      </c>
      <c r="B73" s="195" t="s">
        <v>193</v>
      </c>
      <c r="C73" s="58" t="s">
        <v>194</v>
      </c>
      <c r="D73" s="50" t="s">
        <v>27</v>
      </c>
      <c r="E73" s="54">
        <v>16</v>
      </c>
      <c r="F73" s="54"/>
      <c r="G73" s="54"/>
      <c r="H73" s="54"/>
      <c r="I73" s="54"/>
      <c r="J73" s="54"/>
      <c r="K73" s="47"/>
      <c r="L73" s="11"/>
      <c r="M73" s="11"/>
      <c r="N73" s="11"/>
      <c r="O73" s="11"/>
      <c r="P73" s="11"/>
      <c r="Q73" s="11"/>
      <c r="R73" s="11"/>
      <c r="S73" s="11"/>
      <c r="T73" s="11"/>
    </row>
    <row r="74" spans="1:20" s="53" customFormat="1" ht="24.75">
      <c r="A74" s="198" t="s">
        <v>81</v>
      </c>
      <c r="B74" s="195" t="s">
        <v>195</v>
      </c>
      <c r="C74" s="58" t="s">
        <v>196</v>
      </c>
      <c r="D74" s="50" t="s">
        <v>27</v>
      </c>
      <c r="E74" s="54">
        <v>1</v>
      </c>
      <c r="F74" s="54"/>
      <c r="G74" s="54"/>
      <c r="H74" s="54"/>
      <c r="I74" s="54"/>
      <c r="J74" s="54"/>
      <c r="K74" s="47"/>
      <c r="L74" s="11"/>
      <c r="M74" s="11"/>
      <c r="N74" s="11"/>
      <c r="O74" s="11"/>
      <c r="P74" s="11"/>
      <c r="Q74" s="11"/>
      <c r="R74" s="11"/>
      <c r="S74" s="11"/>
      <c r="T74" s="11"/>
    </row>
    <row r="75" spans="1:20" s="53" customFormat="1" ht="24.75">
      <c r="A75" s="198" t="s">
        <v>251</v>
      </c>
      <c r="B75" s="195" t="s">
        <v>242</v>
      </c>
      <c r="C75" s="58" t="s">
        <v>243</v>
      </c>
      <c r="D75" s="50" t="s">
        <v>27</v>
      </c>
      <c r="E75" s="54">
        <v>9</v>
      </c>
      <c r="F75" s="54"/>
      <c r="G75" s="54"/>
      <c r="H75" s="54"/>
      <c r="I75" s="54"/>
      <c r="J75" s="54"/>
      <c r="K75" s="47"/>
      <c r="L75" s="11"/>
      <c r="M75" s="11"/>
      <c r="N75" s="11"/>
      <c r="O75" s="11"/>
      <c r="P75" s="11"/>
      <c r="Q75" s="11"/>
      <c r="R75" s="11"/>
      <c r="S75" s="11"/>
      <c r="T75" s="11"/>
    </row>
    <row r="76" spans="1:20" s="53" customFormat="1" ht="24.75">
      <c r="A76" s="198" t="s">
        <v>407</v>
      </c>
      <c r="B76" s="197">
        <v>68050</v>
      </c>
      <c r="C76" s="58" t="s">
        <v>673</v>
      </c>
      <c r="D76" s="50" t="s">
        <v>27</v>
      </c>
      <c r="E76" s="54">
        <v>1</v>
      </c>
      <c r="F76" s="54"/>
      <c r="G76" s="54"/>
      <c r="H76" s="54"/>
      <c r="I76" s="54"/>
      <c r="J76" s="54"/>
      <c r="K76" s="47"/>
      <c r="L76" s="11"/>
      <c r="M76" s="11"/>
      <c r="N76" s="11"/>
      <c r="O76" s="11"/>
      <c r="P76" s="11"/>
      <c r="Q76" s="11"/>
      <c r="R76" s="11"/>
      <c r="S76" s="11"/>
      <c r="T76" s="11"/>
    </row>
    <row r="77" spans="1:20" s="53" customFormat="1" ht="24.75">
      <c r="A77" s="198" t="s">
        <v>514</v>
      </c>
      <c r="B77" s="195" t="s">
        <v>244</v>
      </c>
      <c r="C77" s="58" t="s">
        <v>245</v>
      </c>
      <c r="D77" s="50" t="s">
        <v>27</v>
      </c>
      <c r="E77" s="54">
        <v>1</v>
      </c>
      <c r="F77" s="54"/>
      <c r="G77" s="54"/>
      <c r="H77" s="54"/>
      <c r="I77" s="54"/>
      <c r="J77" s="54"/>
      <c r="K77" s="47"/>
      <c r="L77" s="11"/>
      <c r="M77" s="11"/>
      <c r="N77" s="11"/>
      <c r="O77" s="11"/>
      <c r="P77" s="11"/>
      <c r="Q77" s="11"/>
      <c r="R77" s="11"/>
      <c r="S77" s="11"/>
      <c r="T77" s="11"/>
    </row>
    <row r="78" spans="1:20" s="53" customFormat="1" ht="24.75">
      <c r="A78" s="198" t="s">
        <v>521</v>
      </c>
      <c r="B78" s="197">
        <v>68050</v>
      </c>
      <c r="C78" s="58" t="s">
        <v>672</v>
      </c>
      <c r="D78" s="50" t="s">
        <v>27</v>
      </c>
      <c r="E78" s="54">
        <v>3</v>
      </c>
      <c r="F78" s="54"/>
      <c r="G78" s="54"/>
      <c r="H78" s="54"/>
      <c r="I78" s="54"/>
      <c r="J78" s="54"/>
      <c r="K78" s="47"/>
      <c r="L78" s="11"/>
      <c r="M78" s="11"/>
      <c r="N78" s="11"/>
      <c r="O78" s="11"/>
      <c r="P78" s="11"/>
      <c r="Q78" s="11"/>
      <c r="R78" s="11"/>
      <c r="S78" s="11"/>
      <c r="T78" s="11"/>
    </row>
    <row r="79" spans="1:20" s="53" customFormat="1" ht="24.75">
      <c r="A79" s="198" t="s">
        <v>522</v>
      </c>
      <c r="B79" s="195" t="s">
        <v>195</v>
      </c>
      <c r="C79" s="58" t="s">
        <v>246</v>
      </c>
      <c r="D79" s="50" t="s">
        <v>27</v>
      </c>
      <c r="E79" s="54">
        <v>2</v>
      </c>
      <c r="F79" s="54"/>
      <c r="G79" s="54"/>
      <c r="H79" s="54"/>
      <c r="I79" s="54"/>
      <c r="J79" s="54"/>
      <c r="K79" s="47"/>
      <c r="L79" s="11"/>
      <c r="M79" s="11"/>
      <c r="N79" s="11"/>
      <c r="O79" s="11"/>
      <c r="P79" s="11"/>
      <c r="Q79" s="11"/>
      <c r="R79" s="11"/>
      <c r="S79" s="11"/>
      <c r="T79" s="11"/>
    </row>
    <row r="80" spans="1:20" s="53" customFormat="1" ht="24.75">
      <c r="A80" s="198" t="s">
        <v>523</v>
      </c>
      <c r="B80" s="195" t="s">
        <v>266</v>
      </c>
      <c r="C80" s="58" t="s">
        <v>497</v>
      </c>
      <c r="D80" s="50" t="s">
        <v>27</v>
      </c>
      <c r="E80" s="54">
        <v>1</v>
      </c>
      <c r="F80" s="54"/>
      <c r="G80" s="54"/>
      <c r="H80" s="54"/>
      <c r="I80" s="54"/>
      <c r="J80" s="54"/>
      <c r="K80" s="47"/>
      <c r="L80" s="11"/>
      <c r="M80" s="11"/>
      <c r="N80" s="11"/>
      <c r="O80" s="11"/>
      <c r="P80" s="11"/>
      <c r="Q80" s="11"/>
      <c r="R80" s="11"/>
      <c r="S80" s="11"/>
      <c r="T80" s="11"/>
    </row>
    <row r="81" spans="1:22" s="53" customFormat="1">
      <c r="A81" s="198" t="s">
        <v>676</v>
      </c>
      <c r="B81" s="180" t="s">
        <v>247</v>
      </c>
      <c r="C81" s="58" t="s">
        <v>515</v>
      </c>
      <c r="D81" s="50" t="s">
        <v>27</v>
      </c>
      <c r="E81" s="47">
        <v>12</v>
      </c>
      <c r="F81" s="54"/>
      <c r="G81" s="54"/>
      <c r="H81" s="54"/>
      <c r="I81" s="54"/>
      <c r="J81" s="54"/>
      <c r="K81" s="47"/>
      <c r="L81" s="11"/>
      <c r="M81" s="11"/>
      <c r="N81" s="11"/>
      <c r="O81" s="11"/>
      <c r="P81" s="11"/>
      <c r="Q81" s="11"/>
      <c r="R81" s="11"/>
      <c r="S81" s="11"/>
      <c r="T81" s="11"/>
    </row>
    <row r="82" spans="1:22" s="53" customFormat="1">
      <c r="A82" s="198" t="s">
        <v>677</v>
      </c>
      <c r="B82" s="197" t="s">
        <v>247</v>
      </c>
      <c r="C82" s="58" t="s">
        <v>248</v>
      </c>
      <c r="D82" s="50" t="s">
        <v>27</v>
      </c>
      <c r="E82" s="47">
        <v>2</v>
      </c>
      <c r="F82" s="54"/>
      <c r="G82" s="54"/>
      <c r="H82" s="54"/>
      <c r="I82" s="54"/>
      <c r="J82" s="54"/>
      <c r="K82" s="47"/>
      <c r="L82" s="11"/>
      <c r="M82" s="11"/>
      <c r="N82" s="11"/>
      <c r="O82" s="11"/>
      <c r="P82" s="11"/>
      <c r="Q82" s="11"/>
      <c r="R82" s="11"/>
      <c r="S82" s="11"/>
      <c r="T82" s="11"/>
    </row>
    <row r="83" spans="1:22" s="53" customFormat="1" ht="24.75">
      <c r="A83" s="198" t="s">
        <v>678</v>
      </c>
      <c r="B83" s="195" t="s">
        <v>201</v>
      </c>
      <c r="C83" s="58" t="s">
        <v>249</v>
      </c>
      <c r="D83" s="50" t="s">
        <v>27</v>
      </c>
      <c r="E83" s="47">
        <v>1</v>
      </c>
      <c r="F83" s="54"/>
      <c r="G83" s="54"/>
      <c r="H83" s="54"/>
      <c r="I83" s="54"/>
      <c r="J83" s="54"/>
      <c r="K83" s="47"/>
      <c r="L83" s="11"/>
      <c r="M83" s="11"/>
      <c r="N83" s="11"/>
      <c r="O83" s="11"/>
      <c r="P83" s="11"/>
      <c r="Q83" s="11"/>
      <c r="R83" s="11"/>
      <c r="S83" s="11"/>
      <c r="T83" s="11"/>
    </row>
    <row r="84" spans="1:22" s="53" customFormat="1" ht="24.75">
      <c r="A84" s="198" t="s">
        <v>919</v>
      </c>
      <c r="B84" s="195" t="s">
        <v>201</v>
      </c>
      <c r="C84" s="58" t="s">
        <v>250</v>
      </c>
      <c r="D84" s="50" t="s">
        <v>27</v>
      </c>
      <c r="E84" s="47">
        <v>10</v>
      </c>
      <c r="F84" s="54"/>
      <c r="G84" s="54"/>
      <c r="H84" s="54"/>
      <c r="I84" s="54"/>
      <c r="J84" s="54"/>
      <c r="K84" s="47"/>
      <c r="L84" s="11"/>
      <c r="M84" s="11"/>
      <c r="N84" s="11"/>
      <c r="O84" s="11"/>
      <c r="P84" s="11"/>
      <c r="Q84" s="11"/>
      <c r="R84" s="11"/>
      <c r="S84" s="11"/>
      <c r="T84" s="11"/>
    </row>
    <row r="85" spans="1:22" s="53" customFormat="1" ht="24.75">
      <c r="A85" s="198" t="s">
        <v>920</v>
      </c>
      <c r="B85" s="195" t="s">
        <v>201</v>
      </c>
      <c r="C85" s="58" t="s">
        <v>253</v>
      </c>
      <c r="D85" s="50" t="s">
        <v>27</v>
      </c>
      <c r="E85" s="47">
        <v>1</v>
      </c>
      <c r="F85" s="54"/>
      <c r="G85" s="54"/>
      <c r="H85" s="54"/>
      <c r="I85" s="54"/>
      <c r="J85" s="54"/>
      <c r="K85" s="47"/>
      <c r="L85" s="11"/>
      <c r="M85" s="11"/>
      <c r="N85" s="11"/>
      <c r="O85" s="11"/>
      <c r="P85" s="11"/>
      <c r="Q85" s="11"/>
      <c r="R85" s="11"/>
      <c r="S85" s="11"/>
      <c r="T85" s="11"/>
    </row>
    <row r="86" spans="1:22" s="53" customFormat="1" ht="15.75" customHeight="1">
      <c r="A86" s="479" t="s">
        <v>43</v>
      </c>
      <c r="B86" s="480"/>
      <c r="C86" s="480"/>
      <c r="D86" s="480"/>
      <c r="E86" s="480"/>
      <c r="F86" s="480"/>
      <c r="G86" s="480"/>
      <c r="H86" s="480"/>
      <c r="I86" s="481"/>
      <c r="J86" s="23"/>
      <c r="K86" s="23"/>
      <c r="L86" s="77"/>
      <c r="M86" s="11"/>
      <c r="N86" s="11"/>
      <c r="O86" s="11"/>
      <c r="P86" s="11"/>
      <c r="Q86" s="11"/>
      <c r="R86" s="11"/>
      <c r="S86" s="11"/>
      <c r="T86" s="11"/>
    </row>
    <row r="87" spans="1:22" s="74" customFormat="1">
      <c r="A87" s="70" t="s">
        <v>44</v>
      </c>
      <c r="B87" s="448" t="s">
        <v>109</v>
      </c>
      <c r="C87" s="449"/>
      <c r="D87" s="449"/>
      <c r="E87" s="449"/>
      <c r="F87" s="449"/>
      <c r="G87" s="449"/>
      <c r="H87" s="449"/>
      <c r="I87" s="449"/>
      <c r="J87" s="449"/>
      <c r="K87" s="449"/>
      <c r="L87" s="78"/>
      <c r="M87" s="73"/>
      <c r="N87" s="73"/>
      <c r="O87" s="73"/>
      <c r="P87" s="73"/>
      <c r="Q87" s="73"/>
      <c r="R87" s="73"/>
      <c r="S87" s="73"/>
      <c r="T87" s="73"/>
      <c r="U87" s="73"/>
      <c r="V87" s="73"/>
    </row>
    <row r="88" spans="1:22" s="81" customFormat="1" ht="24.75">
      <c r="A88" s="80" t="s">
        <v>82</v>
      </c>
      <c r="B88" s="197" t="s">
        <v>203</v>
      </c>
      <c r="C88" s="181" t="s">
        <v>204</v>
      </c>
      <c r="D88" s="92" t="s">
        <v>29</v>
      </c>
      <c r="E88" s="200">
        <f>582.45+2.6</f>
        <v>585.05000000000007</v>
      </c>
      <c r="F88" s="47"/>
      <c r="G88" s="47"/>
      <c r="H88" s="47"/>
      <c r="I88" s="47"/>
      <c r="J88" s="82"/>
      <c r="K88" s="47"/>
      <c r="L88" s="78"/>
      <c r="M88" s="73"/>
      <c r="N88" s="73"/>
      <c r="O88" s="73"/>
      <c r="P88" s="73"/>
      <c r="Q88" s="73"/>
      <c r="R88" s="73"/>
      <c r="S88" s="73"/>
      <c r="T88" s="73"/>
      <c r="U88" s="73"/>
      <c r="V88" s="73"/>
    </row>
    <row r="89" spans="1:22" s="81" customFormat="1" ht="24.75">
      <c r="A89" s="80" t="s">
        <v>86</v>
      </c>
      <c r="B89" s="197" t="s">
        <v>205</v>
      </c>
      <c r="C89" s="181" t="s">
        <v>206</v>
      </c>
      <c r="D89" s="92" t="s">
        <v>29</v>
      </c>
      <c r="E89" s="47">
        <f>E88*1.005</f>
        <v>587.97524999999996</v>
      </c>
      <c r="F89" s="47"/>
      <c r="G89" s="47"/>
      <c r="H89" s="47"/>
      <c r="I89" s="47"/>
      <c r="J89" s="82"/>
      <c r="K89" s="47"/>
      <c r="L89" s="78"/>
      <c r="M89" s="73"/>
      <c r="N89" s="73"/>
      <c r="O89" s="73"/>
      <c r="P89" s="73"/>
      <c r="Q89" s="73"/>
      <c r="R89" s="73"/>
      <c r="S89" s="73"/>
      <c r="T89" s="73"/>
      <c r="U89" s="73"/>
      <c r="V89" s="73"/>
    </row>
    <row r="90" spans="1:22" s="81" customFormat="1">
      <c r="A90" s="80" t="s">
        <v>110</v>
      </c>
      <c r="B90" s="180">
        <v>72104</v>
      </c>
      <c r="C90" s="181" t="s">
        <v>520</v>
      </c>
      <c r="D90" s="182" t="s">
        <v>28</v>
      </c>
      <c r="E90" s="117">
        <f>(11.7+11.7+10.35)*1.005</f>
        <v>33.918749999999996</v>
      </c>
      <c r="F90" s="117"/>
      <c r="G90" s="117"/>
      <c r="H90" s="117"/>
      <c r="I90" s="117"/>
      <c r="J90" s="177"/>
      <c r="K90" s="47"/>
      <c r="L90" s="78"/>
      <c r="M90" s="73"/>
      <c r="N90" s="73"/>
      <c r="O90" s="73"/>
      <c r="P90" s="73"/>
      <c r="Q90" s="73"/>
      <c r="R90" s="73"/>
      <c r="S90" s="73"/>
      <c r="T90" s="73"/>
      <c r="U90" s="73"/>
      <c r="V90" s="73"/>
    </row>
    <row r="91" spans="1:22" s="81" customFormat="1">
      <c r="A91" s="80" t="s">
        <v>111</v>
      </c>
      <c r="B91" s="197">
        <v>72106</v>
      </c>
      <c r="C91" s="181" t="s">
        <v>207</v>
      </c>
      <c r="D91" s="92" t="s">
        <v>28</v>
      </c>
      <c r="E91" s="47">
        <f>(9.45+11.7+11.7+(8*1.4))*1.005</f>
        <v>44.27024999999999</v>
      </c>
      <c r="F91" s="47"/>
      <c r="G91" s="47"/>
      <c r="H91" s="47"/>
      <c r="I91" s="47"/>
      <c r="J91" s="82"/>
      <c r="K91" s="47"/>
      <c r="L91" s="78"/>
      <c r="M91" s="73"/>
      <c r="N91" s="73"/>
      <c r="O91" s="73"/>
      <c r="P91" s="73"/>
      <c r="Q91" s="73"/>
      <c r="R91" s="73"/>
      <c r="S91" s="73"/>
      <c r="T91" s="73"/>
      <c r="U91" s="73"/>
      <c r="V91" s="73"/>
    </row>
    <row r="92" spans="1:22" s="419" customFormat="1">
      <c r="A92" s="414" t="s">
        <v>463</v>
      </c>
      <c r="B92" s="329"/>
      <c r="C92" s="439" t="s">
        <v>674</v>
      </c>
      <c r="D92" s="420" t="s">
        <v>47</v>
      </c>
      <c r="E92" s="54">
        <f>2*(43*0.3*0.1)</f>
        <v>2.58</v>
      </c>
      <c r="F92" s="54"/>
      <c r="G92" s="54"/>
      <c r="H92" s="54"/>
      <c r="I92" s="54"/>
      <c r="J92" s="410"/>
      <c r="K92" s="54"/>
      <c r="L92" s="411"/>
      <c r="M92" s="398"/>
      <c r="N92" s="398"/>
      <c r="O92" s="398"/>
      <c r="P92" s="398"/>
      <c r="Q92" s="398"/>
      <c r="R92" s="398"/>
      <c r="S92" s="398"/>
      <c r="T92" s="398"/>
      <c r="U92" s="398"/>
      <c r="V92" s="398"/>
    </row>
    <row r="93" spans="1:22" s="81" customFormat="1">
      <c r="A93" s="80" t="s">
        <v>464</v>
      </c>
      <c r="B93" s="197">
        <v>72104</v>
      </c>
      <c r="C93" s="181" t="s">
        <v>208</v>
      </c>
      <c r="D93" s="92" t="s">
        <v>28</v>
      </c>
      <c r="E93" s="47">
        <f>(44.05*2)*1.005</f>
        <v>88.54049999999998</v>
      </c>
      <c r="F93" s="47"/>
      <c r="G93" s="47"/>
      <c r="H93" s="47"/>
      <c r="I93" s="47"/>
      <c r="J93" s="82"/>
      <c r="K93" s="47"/>
      <c r="L93" s="78"/>
      <c r="M93" s="73"/>
      <c r="N93" s="73"/>
      <c r="O93" s="73"/>
      <c r="P93" s="73"/>
      <c r="Q93" s="73"/>
      <c r="R93" s="73"/>
      <c r="S93" s="73"/>
      <c r="T93" s="73"/>
      <c r="U93" s="73"/>
      <c r="V93" s="73"/>
    </row>
    <row r="94" spans="1:22" s="74" customFormat="1">
      <c r="A94" s="462" t="s">
        <v>45</v>
      </c>
      <c r="B94" s="463"/>
      <c r="C94" s="463"/>
      <c r="D94" s="463"/>
      <c r="E94" s="463"/>
      <c r="F94" s="463"/>
      <c r="G94" s="463"/>
      <c r="H94" s="463"/>
      <c r="I94" s="464"/>
      <c r="J94" s="23"/>
      <c r="K94" s="23"/>
      <c r="L94" s="79"/>
      <c r="M94" s="73"/>
      <c r="N94" s="73"/>
      <c r="O94" s="73"/>
      <c r="P94" s="73"/>
      <c r="Q94" s="73"/>
      <c r="R94" s="73"/>
      <c r="S94" s="73"/>
      <c r="T94" s="73"/>
      <c r="U94" s="73"/>
      <c r="V94" s="73"/>
    </row>
    <row r="95" spans="1:22" s="53" customFormat="1">
      <c r="A95" s="48" t="s">
        <v>83</v>
      </c>
      <c r="B95" s="474" t="s">
        <v>6</v>
      </c>
      <c r="C95" s="475"/>
      <c r="D95" s="475"/>
      <c r="E95" s="475"/>
      <c r="F95" s="475"/>
      <c r="G95" s="475"/>
      <c r="H95" s="475"/>
      <c r="I95" s="475"/>
      <c r="J95" s="475"/>
      <c r="K95" s="476"/>
      <c r="L95" s="77"/>
      <c r="M95" s="11"/>
      <c r="N95" s="390"/>
      <c r="O95" s="391"/>
      <c r="P95" s="11"/>
      <c r="Q95" s="11"/>
      <c r="R95" s="11"/>
      <c r="S95" s="11"/>
      <c r="T95" s="11"/>
    </row>
    <row r="96" spans="1:22" s="91" customFormat="1">
      <c r="A96" s="86" t="s">
        <v>343</v>
      </c>
      <c r="B96" s="358" t="s">
        <v>850</v>
      </c>
      <c r="C96" s="202" t="s">
        <v>31</v>
      </c>
      <c r="D96" s="201" t="s">
        <v>28</v>
      </c>
      <c r="E96" s="88">
        <v>1786.93</v>
      </c>
      <c r="F96" s="202"/>
      <c r="G96" s="54"/>
      <c r="H96" s="202"/>
      <c r="I96" s="54"/>
      <c r="J96" s="54"/>
      <c r="K96" s="54"/>
      <c r="L96" s="90"/>
      <c r="M96" s="90"/>
      <c r="N96" s="390"/>
      <c r="O96" s="224"/>
      <c r="P96" s="90"/>
      <c r="Q96" s="90"/>
      <c r="R96" s="90"/>
      <c r="S96" s="90"/>
      <c r="T96" s="90"/>
    </row>
    <row r="97" spans="1:20" s="91" customFormat="1">
      <c r="A97" s="86" t="s">
        <v>344</v>
      </c>
      <c r="B97" s="358" t="s">
        <v>851</v>
      </c>
      <c r="C97" s="191" t="s">
        <v>49</v>
      </c>
      <c r="D97" s="204" t="s">
        <v>28</v>
      </c>
      <c r="E97" s="57">
        <v>641.42999999999995</v>
      </c>
      <c r="F97" s="191"/>
      <c r="G97" s="47"/>
      <c r="H97" s="191"/>
      <c r="I97" s="47"/>
      <c r="J97" s="47"/>
      <c r="K97" s="54"/>
      <c r="L97" s="90"/>
      <c r="M97" s="90"/>
      <c r="N97" s="390"/>
      <c r="O97" s="224"/>
      <c r="P97" s="90"/>
      <c r="Q97" s="90"/>
      <c r="R97" s="90"/>
      <c r="S97" s="90"/>
      <c r="T97" s="90"/>
    </row>
    <row r="98" spans="1:20" s="91" customFormat="1">
      <c r="A98" s="86" t="s">
        <v>345</v>
      </c>
      <c r="B98" s="358" t="s">
        <v>865</v>
      </c>
      <c r="C98" s="191" t="s">
        <v>311</v>
      </c>
      <c r="D98" s="204" t="s">
        <v>28</v>
      </c>
      <c r="E98" s="57">
        <v>704.4</v>
      </c>
      <c r="F98" s="191"/>
      <c r="G98" s="47"/>
      <c r="H98" s="191"/>
      <c r="I98" s="47"/>
      <c r="J98" s="47"/>
      <c r="K98" s="54"/>
      <c r="L98" s="90"/>
      <c r="M98" s="90"/>
      <c r="N98" s="392"/>
      <c r="O98" s="224"/>
      <c r="P98" s="90"/>
      <c r="Q98" s="90"/>
      <c r="R98" s="90"/>
      <c r="S98" s="90"/>
      <c r="T98" s="90"/>
    </row>
    <row r="99" spans="1:20" s="91" customFormat="1">
      <c r="A99" s="86" t="s">
        <v>346</v>
      </c>
      <c r="B99" s="358" t="s">
        <v>870</v>
      </c>
      <c r="C99" s="191" t="s">
        <v>312</v>
      </c>
      <c r="D99" s="204" t="s">
        <v>28</v>
      </c>
      <c r="E99" s="57">
        <v>94</v>
      </c>
      <c r="F99" s="191"/>
      <c r="G99" s="47"/>
      <c r="H99" s="191"/>
      <c r="I99" s="47"/>
      <c r="J99" s="47"/>
      <c r="K99" s="54"/>
      <c r="L99" s="90"/>
      <c r="M99" s="90"/>
      <c r="N99" s="392"/>
      <c r="O99" s="393"/>
      <c r="P99" s="90"/>
      <c r="Q99" s="90"/>
      <c r="R99" s="90"/>
      <c r="S99" s="90"/>
      <c r="T99" s="90"/>
    </row>
    <row r="100" spans="1:20" s="91" customFormat="1">
      <c r="A100" s="86" t="s">
        <v>347</v>
      </c>
      <c r="B100" s="137"/>
      <c r="C100" s="191" t="s">
        <v>48</v>
      </c>
      <c r="D100" s="173" t="s">
        <v>27</v>
      </c>
      <c r="E100" s="47">
        <v>55</v>
      </c>
      <c r="F100" s="47"/>
      <c r="G100" s="47"/>
      <c r="H100" s="47"/>
      <c r="I100" s="47"/>
      <c r="J100" s="47"/>
      <c r="K100" s="54"/>
      <c r="L100" s="90"/>
      <c r="M100" s="90"/>
      <c r="N100" s="394"/>
      <c r="O100" s="224"/>
      <c r="P100" s="90"/>
      <c r="Q100" s="90"/>
      <c r="R100" s="90"/>
      <c r="S100" s="90"/>
      <c r="T100" s="90"/>
    </row>
    <row r="101" spans="1:20" s="91" customFormat="1">
      <c r="A101" s="86" t="s">
        <v>348</v>
      </c>
      <c r="B101" s="137"/>
      <c r="C101" s="206" t="s">
        <v>100</v>
      </c>
      <c r="D101" s="173" t="s">
        <v>27</v>
      </c>
      <c r="E101" s="256">
        <v>62</v>
      </c>
      <c r="F101" s="47"/>
      <c r="G101" s="47"/>
      <c r="H101" s="185"/>
      <c r="I101" s="47"/>
      <c r="J101" s="47"/>
      <c r="K101" s="54"/>
      <c r="L101" s="90"/>
      <c r="M101" s="90"/>
      <c r="N101" s="392"/>
      <c r="O101" s="224"/>
      <c r="P101" s="90"/>
      <c r="Q101" s="90"/>
      <c r="R101" s="90"/>
      <c r="S101" s="90"/>
      <c r="T101" s="90"/>
    </row>
    <row r="102" spans="1:20" s="91" customFormat="1">
      <c r="A102" s="86" t="s">
        <v>349</v>
      </c>
      <c r="B102" s="137"/>
      <c r="C102" s="191" t="s">
        <v>32</v>
      </c>
      <c r="D102" s="173" t="s">
        <v>28</v>
      </c>
      <c r="E102" s="47">
        <v>458.5</v>
      </c>
      <c r="F102" s="47"/>
      <c r="G102" s="47"/>
      <c r="H102" s="47"/>
      <c r="I102" s="47"/>
      <c r="J102" s="47"/>
      <c r="K102" s="54"/>
      <c r="L102" s="90"/>
      <c r="M102" s="90"/>
      <c r="N102" s="390"/>
      <c r="O102" s="224"/>
      <c r="P102" s="90"/>
      <c r="Q102" s="90"/>
      <c r="R102" s="90"/>
      <c r="S102" s="90"/>
      <c r="T102" s="90"/>
    </row>
    <row r="103" spans="1:20" s="91" customFormat="1">
      <c r="A103" s="86" t="s">
        <v>350</v>
      </c>
      <c r="B103" s="358">
        <v>7529</v>
      </c>
      <c r="C103" s="191" t="s">
        <v>89</v>
      </c>
      <c r="D103" s="173" t="s">
        <v>27</v>
      </c>
      <c r="E103" s="47">
        <v>55</v>
      </c>
      <c r="F103" s="47"/>
      <c r="G103" s="47"/>
      <c r="H103" s="47"/>
      <c r="I103" s="47"/>
      <c r="J103" s="47"/>
      <c r="K103" s="54"/>
      <c r="L103" s="90"/>
      <c r="M103" s="90"/>
      <c r="N103" s="392"/>
      <c r="O103" s="224"/>
      <c r="P103" s="90"/>
      <c r="Q103" s="90"/>
      <c r="R103" s="90"/>
      <c r="S103" s="90"/>
      <c r="T103" s="90"/>
    </row>
    <row r="104" spans="1:20" s="91" customFormat="1">
      <c r="A104" s="86" t="s">
        <v>351</v>
      </c>
      <c r="B104" s="137"/>
      <c r="C104" s="191" t="s">
        <v>52</v>
      </c>
      <c r="D104" s="173" t="s">
        <v>27</v>
      </c>
      <c r="E104" s="47">
        <v>28</v>
      </c>
      <c r="F104" s="47"/>
      <c r="G104" s="47"/>
      <c r="H104" s="47"/>
      <c r="I104" s="47"/>
      <c r="J104" s="47"/>
      <c r="K104" s="54"/>
      <c r="L104" s="90"/>
      <c r="M104" s="90"/>
      <c r="N104" s="392"/>
      <c r="O104" s="224"/>
      <c r="P104" s="90"/>
      <c r="Q104" s="90"/>
      <c r="R104" s="90"/>
      <c r="S104" s="90"/>
      <c r="T104" s="90"/>
    </row>
    <row r="105" spans="1:20" s="157" customFormat="1" ht="14.25">
      <c r="A105" s="86" t="s">
        <v>386</v>
      </c>
      <c r="B105" s="137"/>
      <c r="C105" s="58" t="s">
        <v>654</v>
      </c>
      <c r="D105" s="50" t="s">
        <v>27</v>
      </c>
      <c r="E105" s="47">
        <v>1</v>
      </c>
      <c r="F105" s="47"/>
      <c r="G105" s="47"/>
      <c r="H105" s="47"/>
      <c r="I105" s="47"/>
      <c r="J105" s="47"/>
      <c r="K105" s="47"/>
      <c r="L105" s="90"/>
      <c r="M105" s="90"/>
      <c r="N105" s="395"/>
      <c r="O105" s="224"/>
      <c r="P105" s="90"/>
      <c r="Q105" s="90"/>
      <c r="R105" s="90"/>
      <c r="S105" s="90"/>
      <c r="T105" s="90"/>
    </row>
    <row r="106" spans="1:20" s="91" customFormat="1">
      <c r="A106" s="86" t="s">
        <v>387</v>
      </c>
      <c r="B106" s="365">
        <v>72331</v>
      </c>
      <c r="C106" s="191" t="s">
        <v>53</v>
      </c>
      <c r="D106" s="173" t="s">
        <v>27</v>
      </c>
      <c r="E106" s="47">
        <v>12</v>
      </c>
      <c r="F106" s="47"/>
      <c r="G106" s="47"/>
      <c r="H106" s="47"/>
      <c r="I106" s="47"/>
      <c r="J106" s="47"/>
      <c r="K106" s="54"/>
      <c r="L106" s="90"/>
      <c r="M106" s="90"/>
      <c r="N106" s="395"/>
      <c r="O106" s="224"/>
      <c r="P106" s="90"/>
      <c r="Q106" s="90"/>
      <c r="R106" s="90"/>
      <c r="S106" s="90"/>
      <c r="T106" s="90"/>
    </row>
    <row r="107" spans="1:20" s="91" customFormat="1">
      <c r="A107" s="86" t="s">
        <v>389</v>
      </c>
      <c r="B107" s="365">
        <v>72332</v>
      </c>
      <c r="C107" s="191" t="s">
        <v>88</v>
      </c>
      <c r="D107" s="173" t="s">
        <v>27</v>
      </c>
      <c r="E107" s="47">
        <v>19</v>
      </c>
      <c r="F107" s="47"/>
      <c r="G107" s="47"/>
      <c r="H107" s="47"/>
      <c r="I107" s="47"/>
      <c r="J107" s="47"/>
      <c r="K107" s="54"/>
      <c r="L107" s="90"/>
      <c r="M107" s="90"/>
      <c r="N107" s="392"/>
      <c r="O107" s="372"/>
      <c r="P107" s="90"/>
      <c r="Q107" s="90"/>
      <c r="R107" s="90"/>
      <c r="S107" s="90"/>
      <c r="T107" s="90"/>
    </row>
    <row r="108" spans="1:20" s="91" customFormat="1">
      <c r="A108" s="86" t="s">
        <v>390</v>
      </c>
      <c r="B108" s="137"/>
      <c r="C108" s="191" t="s">
        <v>313</v>
      </c>
      <c r="D108" s="173" t="s">
        <v>27</v>
      </c>
      <c r="E108" s="47">
        <v>10</v>
      </c>
      <c r="F108" s="47"/>
      <c r="G108" s="47"/>
      <c r="H108" s="47"/>
      <c r="I108" s="47"/>
      <c r="J108" s="47"/>
      <c r="K108" s="54"/>
      <c r="L108" s="90"/>
      <c r="M108" s="90"/>
      <c r="N108" s="392"/>
      <c r="O108" s="11"/>
      <c r="P108" s="90"/>
      <c r="Q108" s="90"/>
      <c r="R108" s="90"/>
      <c r="S108" s="90"/>
      <c r="T108" s="90"/>
    </row>
    <row r="109" spans="1:20" s="91" customFormat="1">
      <c r="A109" s="86" t="s">
        <v>400</v>
      </c>
      <c r="B109" s="137"/>
      <c r="C109" s="191" t="s">
        <v>314</v>
      </c>
      <c r="D109" s="173" t="s">
        <v>27</v>
      </c>
      <c r="E109" s="47">
        <v>22</v>
      </c>
      <c r="F109" s="186"/>
      <c r="G109" s="47"/>
      <c r="H109" s="47"/>
      <c r="I109" s="47"/>
      <c r="J109" s="47"/>
      <c r="K109" s="54"/>
      <c r="L109" s="90"/>
      <c r="M109" s="90"/>
      <c r="N109" s="392"/>
      <c r="O109" s="11"/>
      <c r="P109" s="90"/>
      <c r="Q109" s="90"/>
      <c r="R109" s="90"/>
      <c r="S109" s="90"/>
      <c r="T109" s="90"/>
    </row>
    <row r="110" spans="1:20" s="91" customFormat="1">
      <c r="A110" s="86" t="s">
        <v>401</v>
      </c>
      <c r="B110" s="137"/>
      <c r="C110" s="191" t="s">
        <v>91</v>
      </c>
      <c r="D110" s="173" t="s">
        <v>27</v>
      </c>
      <c r="E110" s="47">
        <v>79</v>
      </c>
      <c r="F110" s="186"/>
      <c r="G110" s="47"/>
      <c r="H110" s="186"/>
      <c r="I110" s="47"/>
      <c r="J110" s="47"/>
      <c r="K110" s="54"/>
      <c r="L110" s="90"/>
      <c r="M110" s="90"/>
      <c r="N110" s="396"/>
      <c r="O110" s="11"/>
      <c r="P110" s="90"/>
      <c r="Q110" s="90"/>
      <c r="R110" s="90"/>
      <c r="S110" s="90"/>
      <c r="T110" s="90"/>
    </row>
    <row r="111" spans="1:20" s="91" customFormat="1">
      <c r="A111" s="86" t="s">
        <v>402</v>
      </c>
      <c r="B111" s="137"/>
      <c r="C111" s="191" t="s">
        <v>315</v>
      </c>
      <c r="D111" s="173" t="s">
        <v>27</v>
      </c>
      <c r="E111" s="47">
        <v>10</v>
      </c>
      <c r="F111" s="47"/>
      <c r="G111" s="47"/>
      <c r="H111" s="186"/>
      <c r="I111" s="47"/>
      <c r="J111" s="47"/>
      <c r="K111" s="54"/>
      <c r="L111" s="90"/>
      <c r="M111" s="90"/>
      <c r="N111" s="396"/>
      <c r="O111" s="11"/>
      <c r="P111" s="90"/>
      <c r="Q111" s="90"/>
      <c r="R111" s="90"/>
      <c r="S111" s="90"/>
      <c r="T111" s="90"/>
    </row>
    <row r="112" spans="1:20" s="91" customFormat="1">
      <c r="A112" s="86" t="s">
        <v>403</v>
      </c>
      <c r="B112" s="359" t="s">
        <v>853</v>
      </c>
      <c r="C112" s="191" t="s">
        <v>604</v>
      </c>
      <c r="D112" s="173" t="s">
        <v>27</v>
      </c>
      <c r="E112" s="47">
        <v>1</v>
      </c>
      <c r="F112" s="47"/>
      <c r="G112" s="47"/>
      <c r="H112" s="186"/>
      <c r="I112" s="47"/>
      <c r="J112" s="47"/>
      <c r="K112" s="54"/>
      <c r="L112" s="90"/>
      <c r="M112" s="90"/>
      <c r="N112" s="392"/>
      <c r="O112" s="11"/>
      <c r="P112" s="90"/>
      <c r="Q112" s="90"/>
      <c r="R112" s="90"/>
      <c r="S112" s="90"/>
      <c r="T112" s="90"/>
    </row>
    <row r="113" spans="1:20" s="91" customFormat="1">
      <c r="A113" s="86" t="s">
        <v>404</v>
      </c>
      <c r="B113" s="137"/>
      <c r="C113" s="191" t="s">
        <v>50</v>
      </c>
      <c r="D113" s="173" t="s">
        <v>27</v>
      </c>
      <c r="E113" s="47">
        <v>6</v>
      </c>
      <c r="F113" s="47"/>
      <c r="G113" s="47"/>
      <c r="H113" s="186"/>
      <c r="I113" s="47"/>
      <c r="J113" s="47"/>
      <c r="K113" s="54"/>
      <c r="L113" s="90"/>
      <c r="M113" s="90"/>
      <c r="N113" s="392"/>
      <c r="O113" s="372"/>
      <c r="P113" s="90"/>
      <c r="Q113" s="90"/>
      <c r="R113" s="90"/>
      <c r="S113" s="90"/>
      <c r="T113" s="90"/>
    </row>
    <row r="114" spans="1:20" s="91" customFormat="1">
      <c r="A114" s="86" t="s">
        <v>405</v>
      </c>
      <c r="B114" s="359" t="s">
        <v>853</v>
      </c>
      <c r="C114" s="191" t="s">
        <v>90</v>
      </c>
      <c r="D114" s="173" t="s">
        <v>27</v>
      </c>
      <c r="E114" s="47">
        <v>18</v>
      </c>
      <c r="F114" s="47"/>
      <c r="G114" s="47"/>
      <c r="H114" s="186"/>
      <c r="I114" s="47"/>
      <c r="J114" s="47"/>
      <c r="K114" s="54"/>
      <c r="L114" s="90"/>
      <c r="M114" s="90"/>
      <c r="N114" s="397"/>
      <c r="O114" s="11"/>
      <c r="P114" s="90"/>
      <c r="Q114" s="90"/>
      <c r="R114" s="90"/>
      <c r="S114" s="90"/>
      <c r="T114" s="90"/>
    </row>
    <row r="115" spans="1:20" s="91" customFormat="1">
      <c r="A115" s="86" t="s">
        <v>406</v>
      </c>
      <c r="B115" s="137"/>
      <c r="C115" s="191" t="s">
        <v>316</v>
      </c>
      <c r="D115" s="173" t="s">
        <v>27</v>
      </c>
      <c r="E115" s="47">
        <v>10</v>
      </c>
      <c r="F115" s="47"/>
      <c r="G115" s="47"/>
      <c r="H115" s="186"/>
      <c r="I115" s="47"/>
      <c r="J115" s="47"/>
      <c r="K115" s="54"/>
      <c r="L115" s="90"/>
      <c r="M115" s="90"/>
      <c r="N115" s="90"/>
      <c r="O115" s="90"/>
      <c r="P115" s="90"/>
      <c r="Q115" s="90"/>
      <c r="R115" s="90"/>
      <c r="S115" s="90"/>
      <c r="T115" s="90"/>
    </row>
    <row r="116" spans="1:20" s="157" customFormat="1" ht="14.25">
      <c r="A116" s="86" t="s">
        <v>601</v>
      </c>
      <c r="B116" s="137"/>
      <c r="C116" s="58" t="s">
        <v>655</v>
      </c>
      <c r="D116" s="50" t="s">
        <v>27</v>
      </c>
      <c r="E116" s="47">
        <v>1</v>
      </c>
      <c r="F116" s="47"/>
      <c r="G116" s="47"/>
      <c r="H116" s="49"/>
      <c r="I116" s="47"/>
      <c r="J116" s="47"/>
      <c r="K116" s="47"/>
      <c r="L116" s="90"/>
      <c r="M116" s="90"/>
      <c r="N116" s="90"/>
      <c r="O116" s="90"/>
      <c r="P116" s="90"/>
      <c r="Q116" s="90"/>
      <c r="R116" s="90"/>
      <c r="S116" s="90"/>
      <c r="T116" s="90"/>
    </row>
    <row r="117" spans="1:20" s="91" customFormat="1">
      <c r="A117" s="86" t="s">
        <v>602</v>
      </c>
      <c r="B117" s="137"/>
      <c r="C117" s="191" t="s">
        <v>51</v>
      </c>
      <c r="D117" s="173" t="s">
        <v>27</v>
      </c>
      <c r="E117" s="47">
        <v>1</v>
      </c>
      <c r="F117" s="47"/>
      <c r="G117" s="47"/>
      <c r="H117" s="186"/>
      <c r="I117" s="47"/>
      <c r="J117" s="47"/>
      <c r="K117" s="54"/>
      <c r="L117" s="90"/>
      <c r="M117" s="90"/>
      <c r="N117" s="90"/>
      <c r="O117" s="90"/>
      <c r="P117" s="90"/>
      <c r="Q117" s="90"/>
      <c r="R117" s="90"/>
      <c r="S117" s="90"/>
      <c r="T117" s="90"/>
    </row>
    <row r="118" spans="1:20" s="91" customFormat="1">
      <c r="A118" s="86" t="s">
        <v>603</v>
      </c>
      <c r="B118" s="137"/>
      <c r="C118" s="191" t="s">
        <v>317</v>
      </c>
      <c r="D118" s="173" t="s">
        <v>27</v>
      </c>
      <c r="E118" s="47">
        <v>2</v>
      </c>
      <c r="F118" s="47"/>
      <c r="G118" s="47"/>
      <c r="H118" s="186"/>
      <c r="I118" s="47"/>
      <c r="J118" s="47"/>
      <c r="K118" s="54"/>
      <c r="L118" s="90"/>
      <c r="M118" s="90"/>
      <c r="N118" s="90"/>
      <c r="O118" s="90"/>
      <c r="P118" s="90"/>
      <c r="Q118" s="90"/>
      <c r="R118" s="90"/>
      <c r="S118" s="90"/>
      <c r="T118" s="90"/>
    </row>
    <row r="119" spans="1:20" s="91" customFormat="1">
      <c r="A119" s="86" t="s">
        <v>656</v>
      </c>
      <c r="B119" s="137"/>
      <c r="C119" s="191" t="s">
        <v>93</v>
      </c>
      <c r="D119" s="173" t="s">
        <v>27</v>
      </c>
      <c r="E119" s="47">
        <v>22</v>
      </c>
      <c r="F119" s="47"/>
      <c r="G119" s="47"/>
      <c r="H119" s="186"/>
      <c r="I119" s="47"/>
      <c r="J119" s="47"/>
      <c r="K119" s="54"/>
      <c r="L119" s="90"/>
      <c r="M119" s="90"/>
      <c r="N119" s="90"/>
      <c r="O119" s="90"/>
      <c r="P119" s="90"/>
      <c r="Q119" s="90"/>
      <c r="R119" s="90"/>
      <c r="S119" s="90"/>
      <c r="T119" s="90"/>
    </row>
    <row r="120" spans="1:20" s="91" customFormat="1">
      <c r="A120" s="86" t="s">
        <v>657</v>
      </c>
      <c r="B120" s="389" t="s">
        <v>854</v>
      </c>
      <c r="C120" s="191" t="s">
        <v>605</v>
      </c>
      <c r="D120" s="173" t="s">
        <v>27</v>
      </c>
      <c r="E120" s="47">
        <v>3</v>
      </c>
      <c r="F120" s="47"/>
      <c r="G120" s="47"/>
      <c r="H120" s="186"/>
      <c r="I120" s="47"/>
      <c r="J120" s="47"/>
      <c r="K120" s="54"/>
      <c r="L120" s="90"/>
      <c r="M120" s="90"/>
      <c r="N120" s="90"/>
      <c r="O120" s="90"/>
      <c r="P120" s="90"/>
      <c r="Q120" s="90"/>
      <c r="R120" s="90"/>
      <c r="S120" s="90"/>
      <c r="T120" s="90"/>
    </row>
    <row r="121" spans="1:20">
      <c r="A121" s="479" t="s">
        <v>84</v>
      </c>
      <c r="B121" s="480"/>
      <c r="C121" s="480"/>
      <c r="D121" s="480"/>
      <c r="E121" s="480"/>
      <c r="F121" s="480"/>
      <c r="G121" s="480"/>
      <c r="H121" s="480"/>
      <c r="I121" s="481"/>
      <c r="J121" s="23"/>
      <c r="K121" s="39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0" s="53" customFormat="1">
      <c r="A122" s="60" t="s">
        <v>46</v>
      </c>
      <c r="B122" s="486" t="s">
        <v>112</v>
      </c>
      <c r="C122" s="487"/>
      <c r="D122" s="487"/>
      <c r="E122" s="487"/>
      <c r="F122" s="487"/>
      <c r="G122" s="487"/>
      <c r="H122" s="487"/>
      <c r="I122" s="487"/>
      <c r="J122" s="487"/>
      <c r="K122" s="488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1:20" s="53" customFormat="1">
      <c r="A123" s="48" t="s">
        <v>352</v>
      </c>
      <c r="B123" s="48"/>
      <c r="C123" s="206" t="s">
        <v>94</v>
      </c>
      <c r="D123" s="205" t="s">
        <v>28</v>
      </c>
      <c r="E123" s="261">
        <v>232.89</v>
      </c>
      <c r="F123" s="257"/>
      <c r="G123" s="257"/>
      <c r="H123" s="257"/>
      <c r="I123" s="257"/>
      <c r="J123" s="257"/>
      <c r="K123" s="258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1:20" s="53" customFormat="1">
      <c r="A124" s="48" t="s">
        <v>353</v>
      </c>
      <c r="B124" s="48"/>
      <c r="C124" s="206" t="s">
        <v>95</v>
      </c>
      <c r="D124" s="205" t="s">
        <v>27</v>
      </c>
      <c r="E124" s="261">
        <v>17</v>
      </c>
      <c r="F124" s="185"/>
      <c r="G124" s="257"/>
      <c r="H124" s="185"/>
      <c r="I124" s="257"/>
      <c r="J124" s="257"/>
      <c r="K124" s="258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0" s="53" customFormat="1">
      <c r="A125" s="48" t="s">
        <v>354</v>
      </c>
      <c r="B125" s="48"/>
      <c r="C125" s="206" t="s">
        <v>99</v>
      </c>
      <c r="D125" s="205" t="s">
        <v>27</v>
      </c>
      <c r="E125" s="261">
        <v>13</v>
      </c>
      <c r="F125" s="185"/>
      <c r="G125" s="257"/>
      <c r="H125" s="185"/>
      <c r="I125" s="257"/>
      <c r="J125" s="257"/>
      <c r="K125" s="258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1:20" s="53" customFormat="1" ht="24.75">
      <c r="A126" s="48" t="s">
        <v>355</v>
      </c>
      <c r="B126" s="48"/>
      <c r="C126" s="206" t="s">
        <v>97</v>
      </c>
      <c r="D126" s="205" t="s">
        <v>27</v>
      </c>
      <c r="E126" s="261">
        <v>1</v>
      </c>
      <c r="F126" s="185"/>
      <c r="G126" s="257"/>
      <c r="H126" s="185"/>
      <c r="I126" s="257"/>
      <c r="J126" s="257"/>
      <c r="K126" s="258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20" s="53" customFormat="1">
      <c r="A127" s="48" t="s">
        <v>356</v>
      </c>
      <c r="B127" s="48"/>
      <c r="C127" s="206" t="s">
        <v>98</v>
      </c>
      <c r="D127" s="205" t="s">
        <v>28</v>
      </c>
      <c r="E127" s="261">
        <v>302.89</v>
      </c>
      <c r="F127" s="185"/>
      <c r="G127" s="257"/>
      <c r="H127" s="185"/>
      <c r="I127" s="257"/>
      <c r="J127" s="257"/>
      <c r="K127" s="258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1:20" s="53" customFormat="1">
      <c r="A128" s="48" t="s">
        <v>357</v>
      </c>
      <c r="B128" s="48"/>
      <c r="C128" s="206" t="s">
        <v>96</v>
      </c>
      <c r="D128" s="205" t="s">
        <v>28</v>
      </c>
      <c r="E128" s="261">
        <v>465.78</v>
      </c>
      <c r="F128" s="185"/>
      <c r="G128" s="257"/>
      <c r="H128" s="185"/>
      <c r="I128" s="257"/>
      <c r="J128" s="257"/>
      <c r="K128" s="258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0" s="53" customFormat="1">
      <c r="A129" s="48" t="s">
        <v>358</v>
      </c>
      <c r="B129" s="48"/>
      <c r="C129" s="191" t="s">
        <v>48</v>
      </c>
      <c r="D129" s="171" t="s">
        <v>27</v>
      </c>
      <c r="E129" s="172">
        <v>31</v>
      </c>
      <c r="F129" s="257"/>
      <c r="G129" s="257"/>
      <c r="H129" s="257"/>
      <c r="I129" s="257"/>
      <c r="J129" s="257"/>
      <c r="K129" s="258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0" s="53" customFormat="1">
      <c r="A130" s="482" t="s">
        <v>85</v>
      </c>
      <c r="B130" s="483"/>
      <c r="C130" s="483"/>
      <c r="D130" s="483"/>
      <c r="E130" s="483"/>
      <c r="F130" s="483"/>
      <c r="G130" s="483"/>
      <c r="H130" s="483"/>
      <c r="I130" s="484"/>
      <c r="J130" s="255"/>
      <c r="K130" s="255"/>
      <c r="L130" s="11"/>
      <c r="M130" s="90"/>
      <c r="N130" s="90"/>
      <c r="O130" s="90"/>
      <c r="P130" s="90"/>
      <c r="Q130" s="11"/>
      <c r="R130" s="11"/>
      <c r="S130" s="11"/>
      <c r="T130" s="11"/>
    </row>
    <row r="131" spans="1:20" s="53" customFormat="1">
      <c r="A131" s="60" t="s">
        <v>138</v>
      </c>
      <c r="B131" s="559" t="s">
        <v>54</v>
      </c>
      <c r="C131" s="560"/>
      <c r="D131" s="560"/>
      <c r="E131" s="560"/>
      <c r="F131" s="560"/>
      <c r="G131" s="560"/>
      <c r="H131" s="560"/>
      <c r="I131" s="560"/>
      <c r="J131" s="560"/>
      <c r="K131" s="561"/>
      <c r="L131" s="11"/>
      <c r="M131" s="90"/>
      <c r="N131" s="395"/>
      <c r="O131" s="383"/>
      <c r="P131" s="90"/>
      <c r="Q131" s="11"/>
      <c r="R131" s="11"/>
      <c r="S131" s="11"/>
      <c r="T131" s="11"/>
    </row>
    <row r="132" spans="1:20" s="53" customFormat="1">
      <c r="A132" s="48" t="s">
        <v>359</v>
      </c>
      <c r="B132" s="365" t="s">
        <v>747</v>
      </c>
      <c r="C132" s="191" t="s">
        <v>336</v>
      </c>
      <c r="D132" s="173" t="s">
        <v>28</v>
      </c>
      <c r="E132" s="47">
        <v>101.38</v>
      </c>
      <c r="F132" s="47"/>
      <c r="G132" s="47"/>
      <c r="H132" s="47"/>
      <c r="I132" s="47"/>
      <c r="J132" s="47"/>
      <c r="K132" s="54"/>
      <c r="L132" s="11"/>
      <c r="M132" s="90"/>
      <c r="N132" s="395"/>
      <c r="O132" s="383"/>
      <c r="P132" s="90"/>
      <c r="Q132" s="11"/>
      <c r="R132" s="11"/>
      <c r="S132" s="11"/>
      <c r="T132" s="11"/>
    </row>
    <row r="133" spans="1:20" s="53" customFormat="1">
      <c r="A133" s="48" t="s">
        <v>360</v>
      </c>
      <c r="B133" s="365" t="s">
        <v>856</v>
      </c>
      <c r="C133" s="191" t="s">
        <v>337</v>
      </c>
      <c r="D133" s="173" t="s">
        <v>28</v>
      </c>
      <c r="E133" s="47">
        <v>7.47</v>
      </c>
      <c r="F133" s="47"/>
      <c r="G133" s="47"/>
      <c r="H133" s="47"/>
      <c r="I133" s="47"/>
      <c r="J133" s="47"/>
      <c r="K133" s="54"/>
      <c r="L133" s="11"/>
      <c r="M133" s="90"/>
      <c r="N133" s="395"/>
      <c r="O133" s="383"/>
      <c r="P133" s="90"/>
      <c r="Q133" s="11"/>
      <c r="R133" s="11"/>
      <c r="S133" s="11"/>
      <c r="T133" s="11"/>
    </row>
    <row r="134" spans="1:20" s="53" customFormat="1">
      <c r="A134" s="48" t="s">
        <v>361</v>
      </c>
      <c r="B134" s="365" t="s">
        <v>857</v>
      </c>
      <c r="C134" s="191" t="s">
        <v>338</v>
      </c>
      <c r="D134" s="173" t="s">
        <v>28</v>
      </c>
      <c r="E134" s="47">
        <v>53.94</v>
      </c>
      <c r="F134" s="47"/>
      <c r="G134" s="47"/>
      <c r="H134" s="47"/>
      <c r="I134" s="47"/>
      <c r="J134" s="47"/>
      <c r="K134" s="54"/>
      <c r="L134" s="11"/>
      <c r="M134" s="90"/>
      <c r="N134" s="395"/>
      <c r="O134" s="383"/>
      <c r="P134" s="90"/>
      <c r="Q134" s="11"/>
      <c r="R134" s="11"/>
      <c r="S134" s="11"/>
      <c r="T134" s="11"/>
    </row>
    <row r="135" spans="1:20" s="53" customFormat="1">
      <c r="A135" s="48" t="s">
        <v>362</v>
      </c>
      <c r="B135" s="365" t="s">
        <v>859</v>
      </c>
      <c r="C135" s="191" t="s">
        <v>339</v>
      </c>
      <c r="D135" s="173" t="s">
        <v>28</v>
      </c>
      <c r="E135" s="47">
        <v>60.63</v>
      </c>
      <c r="F135" s="47"/>
      <c r="G135" s="47"/>
      <c r="H135" s="47"/>
      <c r="I135" s="47"/>
      <c r="J135" s="47"/>
      <c r="K135" s="54"/>
      <c r="L135" s="11"/>
      <c r="M135" s="90"/>
      <c r="N135" s="395"/>
      <c r="O135" s="383"/>
      <c r="P135" s="90"/>
      <c r="Q135" s="11"/>
      <c r="R135" s="11"/>
      <c r="S135" s="11"/>
      <c r="T135" s="11"/>
    </row>
    <row r="136" spans="1:20" s="53" customFormat="1">
      <c r="A136" s="48" t="s">
        <v>363</v>
      </c>
      <c r="B136" s="365" t="s">
        <v>862</v>
      </c>
      <c r="C136" s="191" t="s">
        <v>340</v>
      </c>
      <c r="D136" s="173" t="s">
        <v>28</v>
      </c>
      <c r="E136" s="47">
        <v>40.74</v>
      </c>
      <c r="F136" s="47"/>
      <c r="G136" s="47"/>
      <c r="H136" s="47"/>
      <c r="I136" s="47"/>
      <c r="J136" s="47"/>
      <c r="K136" s="54"/>
      <c r="L136" s="11"/>
      <c r="M136" s="90"/>
      <c r="N136" s="395"/>
      <c r="O136" s="383"/>
      <c r="P136" s="90"/>
      <c r="Q136" s="11"/>
      <c r="R136" s="11"/>
      <c r="S136" s="11"/>
      <c r="T136" s="11"/>
    </row>
    <row r="137" spans="1:20" s="53" customFormat="1">
      <c r="A137" s="48" t="s">
        <v>364</v>
      </c>
      <c r="B137" s="48"/>
      <c r="C137" s="191" t="s">
        <v>621</v>
      </c>
      <c r="D137" s="173" t="s">
        <v>28</v>
      </c>
      <c r="E137" s="47">
        <v>83.47</v>
      </c>
      <c r="F137" s="47"/>
      <c r="G137" s="47"/>
      <c r="H137" s="47"/>
      <c r="I137" s="47"/>
      <c r="J137" s="47"/>
      <c r="K137" s="54"/>
      <c r="L137" s="11"/>
      <c r="M137" s="90"/>
      <c r="N137" s="395"/>
      <c r="O137" s="383"/>
      <c r="P137" s="90"/>
      <c r="Q137" s="11"/>
      <c r="R137" s="11"/>
      <c r="S137" s="11"/>
      <c r="T137" s="11"/>
    </row>
    <row r="138" spans="1:20" s="53" customFormat="1">
      <c r="A138" s="48" t="s">
        <v>365</v>
      </c>
      <c r="B138" s="48"/>
      <c r="C138" s="191" t="s">
        <v>622</v>
      </c>
      <c r="D138" s="173" t="s">
        <v>28</v>
      </c>
      <c r="E138" s="47">
        <v>82.94</v>
      </c>
      <c r="F138" s="47"/>
      <c r="G138" s="47"/>
      <c r="H138" s="47"/>
      <c r="I138" s="47"/>
      <c r="J138" s="47"/>
      <c r="K138" s="54"/>
      <c r="L138" s="11"/>
      <c r="M138" s="90"/>
      <c r="N138" s="395"/>
      <c r="O138" s="383"/>
      <c r="P138" s="90"/>
      <c r="Q138" s="11"/>
      <c r="R138" s="11"/>
      <c r="S138" s="11"/>
      <c r="T138" s="11"/>
    </row>
    <row r="139" spans="1:20" s="53" customFormat="1">
      <c r="A139" s="48" t="s">
        <v>366</v>
      </c>
      <c r="B139" s="48"/>
      <c r="C139" s="191" t="s">
        <v>623</v>
      </c>
      <c r="D139" s="173" t="s">
        <v>28</v>
      </c>
      <c r="E139" s="47">
        <v>92.19</v>
      </c>
      <c r="F139" s="47"/>
      <c r="G139" s="47"/>
      <c r="H139" s="47"/>
      <c r="I139" s="47"/>
      <c r="J139" s="47"/>
      <c r="K139" s="54"/>
      <c r="L139" s="11"/>
      <c r="M139" s="90"/>
      <c r="N139" s="395"/>
      <c r="O139" s="383"/>
      <c r="P139" s="90"/>
      <c r="Q139" s="11"/>
      <c r="R139" s="11"/>
      <c r="S139" s="11"/>
      <c r="T139" s="11"/>
    </row>
    <row r="140" spans="1:20" s="53" customFormat="1">
      <c r="A140" s="48" t="s">
        <v>367</v>
      </c>
      <c r="B140" s="48"/>
      <c r="C140" s="191" t="s">
        <v>318</v>
      </c>
      <c r="D140" s="173" t="s">
        <v>27</v>
      </c>
      <c r="E140" s="47">
        <v>2</v>
      </c>
      <c r="F140" s="47"/>
      <c r="G140" s="47"/>
      <c r="H140" s="47"/>
      <c r="I140" s="47"/>
      <c r="J140" s="47"/>
      <c r="K140" s="54"/>
      <c r="L140" s="11"/>
      <c r="M140" s="90"/>
      <c r="N140" s="395"/>
      <c r="O140" s="383"/>
      <c r="P140" s="90"/>
      <c r="Q140" s="11"/>
      <c r="R140" s="11"/>
      <c r="S140" s="11"/>
      <c r="T140" s="11"/>
    </row>
    <row r="141" spans="1:20" s="53" customFormat="1">
      <c r="A141" s="48" t="s">
        <v>368</v>
      </c>
      <c r="B141" s="365">
        <v>72557</v>
      </c>
      <c r="C141" s="191" t="s">
        <v>55</v>
      </c>
      <c r="D141" s="173" t="s">
        <v>27</v>
      </c>
      <c r="E141" s="47">
        <v>15</v>
      </c>
      <c r="F141" s="47"/>
      <c r="G141" s="47"/>
      <c r="H141" s="47"/>
      <c r="I141" s="47"/>
      <c r="J141" s="47"/>
      <c r="K141" s="54"/>
      <c r="L141" s="11"/>
      <c r="M141" s="90"/>
      <c r="N141" s="395"/>
      <c r="O141" s="383"/>
      <c r="P141" s="90"/>
      <c r="Q141" s="11"/>
      <c r="R141" s="11"/>
      <c r="S141" s="11"/>
      <c r="T141" s="11"/>
    </row>
    <row r="142" spans="1:20" s="53" customFormat="1">
      <c r="A142" s="48" t="s">
        <v>369</v>
      </c>
      <c r="B142" s="365">
        <v>72564</v>
      </c>
      <c r="C142" s="191" t="s">
        <v>56</v>
      </c>
      <c r="D142" s="173" t="s">
        <v>27</v>
      </c>
      <c r="E142" s="47">
        <v>7</v>
      </c>
      <c r="F142" s="47"/>
      <c r="G142" s="47"/>
      <c r="H142" s="47"/>
      <c r="I142" s="47"/>
      <c r="J142" s="47"/>
      <c r="K142" s="54"/>
      <c r="L142" s="11"/>
      <c r="M142" s="90"/>
      <c r="N142" s="395"/>
      <c r="O142" s="383"/>
      <c r="P142" s="90"/>
      <c r="Q142" s="11"/>
      <c r="R142" s="11"/>
      <c r="S142" s="11"/>
      <c r="T142" s="11"/>
    </row>
    <row r="143" spans="1:20" s="53" customFormat="1">
      <c r="A143" s="48" t="s">
        <v>370</v>
      </c>
      <c r="B143" s="365">
        <v>72562</v>
      </c>
      <c r="C143" s="191" t="s">
        <v>57</v>
      </c>
      <c r="D143" s="173" t="s">
        <v>27</v>
      </c>
      <c r="E143" s="47">
        <v>7</v>
      </c>
      <c r="F143" s="47"/>
      <c r="G143" s="47"/>
      <c r="H143" s="47"/>
      <c r="I143" s="47"/>
      <c r="J143" s="47"/>
      <c r="K143" s="54"/>
      <c r="L143" s="11"/>
      <c r="M143" s="90"/>
      <c r="N143" s="395"/>
      <c r="O143" s="383"/>
      <c r="P143" s="90"/>
      <c r="Q143" s="11"/>
      <c r="R143" s="11"/>
      <c r="S143" s="11"/>
      <c r="T143" s="11"/>
    </row>
    <row r="144" spans="1:20" s="53" customFormat="1">
      <c r="A144" s="48" t="s">
        <v>371</v>
      </c>
      <c r="B144" s="369">
        <v>72560</v>
      </c>
      <c r="C144" s="191" t="s">
        <v>319</v>
      </c>
      <c r="D144" s="173" t="s">
        <v>27</v>
      </c>
      <c r="E144" s="47">
        <v>17</v>
      </c>
      <c r="F144" s="47"/>
      <c r="G144" s="47"/>
      <c r="H144" s="47"/>
      <c r="I144" s="47"/>
      <c r="J144" s="47"/>
      <c r="K144" s="54"/>
      <c r="L144" s="11"/>
      <c r="M144" s="90"/>
      <c r="N144" s="395"/>
      <c r="O144" s="383"/>
      <c r="P144" s="90"/>
      <c r="Q144" s="11"/>
      <c r="R144" s="11"/>
      <c r="S144" s="11"/>
      <c r="T144" s="11"/>
    </row>
    <row r="145" spans="1:20" s="53" customFormat="1">
      <c r="A145" s="48" t="s">
        <v>372</v>
      </c>
      <c r="B145" s="369">
        <v>72573</v>
      </c>
      <c r="C145" s="191" t="s">
        <v>290</v>
      </c>
      <c r="D145" s="173" t="s">
        <v>27</v>
      </c>
      <c r="E145" s="47">
        <v>42</v>
      </c>
      <c r="F145" s="47"/>
      <c r="G145" s="47"/>
      <c r="H145" s="47"/>
      <c r="I145" s="47"/>
      <c r="J145" s="47"/>
      <c r="K145" s="54"/>
      <c r="L145" s="11"/>
      <c r="M145" s="90"/>
      <c r="N145" s="395"/>
      <c r="O145" s="383"/>
      <c r="P145" s="90"/>
      <c r="Q145" s="11"/>
      <c r="R145" s="11"/>
      <c r="S145" s="11"/>
      <c r="T145" s="11"/>
    </row>
    <row r="146" spans="1:20" s="53" customFormat="1">
      <c r="A146" s="48" t="s">
        <v>373</v>
      </c>
      <c r="B146" s="369">
        <v>72580</v>
      </c>
      <c r="C146" s="191" t="s">
        <v>291</v>
      </c>
      <c r="D146" s="173" t="s">
        <v>27</v>
      </c>
      <c r="E146" s="47">
        <v>17</v>
      </c>
      <c r="F146" s="47"/>
      <c r="G146" s="47"/>
      <c r="H146" s="47"/>
      <c r="I146" s="47"/>
      <c r="J146" s="47"/>
      <c r="K146" s="54"/>
      <c r="L146" s="11"/>
      <c r="M146" s="90"/>
      <c r="N146" s="399"/>
      <c r="O146" s="383"/>
      <c r="P146" s="90"/>
      <c r="Q146" s="11"/>
      <c r="R146" s="11"/>
      <c r="S146" s="11"/>
      <c r="T146" s="11"/>
    </row>
    <row r="147" spans="1:20" s="53" customFormat="1">
      <c r="A147" s="48" t="s">
        <v>374</v>
      </c>
      <c r="B147" s="48"/>
      <c r="C147" s="191" t="s">
        <v>320</v>
      </c>
      <c r="D147" s="173" t="s">
        <v>27</v>
      </c>
      <c r="E147" s="47">
        <v>7</v>
      </c>
      <c r="F147" s="47"/>
      <c r="G147" s="47"/>
      <c r="H147" s="47"/>
      <c r="I147" s="47"/>
      <c r="J147" s="47"/>
      <c r="K147" s="54"/>
      <c r="L147" s="11"/>
      <c r="M147" s="90"/>
      <c r="N147" s="399"/>
      <c r="O147" s="383"/>
      <c r="P147" s="90"/>
      <c r="Q147" s="11"/>
      <c r="R147" s="11"/>
      <c r="S147" s="11"/>
      <c r="T147" s="11"/>
    </row>
    <row r="148" spans="1:20" s="53" customFormat="1">
      <c r="A148" s="48" t="s">
        <v>375</v>
      </c>
      <c r="B148" s="48"/>
      <c r="C148" s="191" t="s">
        <v>292</v>
      </c>
      <c r="D148" s="173" t="s">
        <v>27</v>
      </c>
      <c r="E148" s="47">
        <v>24</v>
      </c>
      <c r="F148" s="47"/>
      <c r="G148" s="47"/>
      <c r="H148" s="47"/>
      <c r="I148" s="47"/>
      <c r="J148" s="47"/>
      <c r="K148" s="54"/>
      <c r="L148" s="11"/>
      <c r="M148" s="90"/>
      <c r="N148" s="399"/>
      <c r="O148" s="383"/>
      <c r="P148" s="90"/>
      <c r="Q148" s="11"/>
      <c r="R148" s="11"/>
      <c r="S148" s="11"/>
      <c r="T148" s="11"/>
    </row>
    <row r="149" spans="1:20" s="53" customFormat="1">
      <c r="A149" s="48" t="s">
        <v>376</v>
      </c>
      <c r="B149" s="48"/>
      <c r="C149" s="191" t="s">
        <v>615</v>
      </c>
      <c r="D149" s="173" t="s">
        <v>27</v>
      </c>
      <c r="E149" s="47">
        <v>10</v>
      </c>
      <c r="F149" s="47"/>
      <c r="G149" s="47"/>
      <c r="H149" s="47"/>
      <c r="I149" s="47"/>
      <c r="J149" s="47"/>
      <c r="K149" s="54"/>
      <c r="L149" s="11"/>
      <c r="M149" s="90"/>
      <c r="N149" s="399"/>
      <c r="O149" s="383"/>
      <c r="P149" s="90"/>
      <c r="Q149" s="11"/>
      <c r="R149" s="11"/>
      <c r="S149" s="11"/>
      <c r="T149" s="11"/>
    </row>
    <row r="150" spans="1:20" s="53" customFormat="1">
      <c r="A150" s="48" t="s">
        <v>377</v>
      </c>
      <c r="B150" s="48"/>
      <c r="C150" s="191" t="s">
        <v>616</v>
      </c>
      <c r="D150" s="173" t="s">
        <v>27</v>
      </c>
      <c r="E150" s="47">
        <v>4</v>
      </c>
      <c r="F150" s="47"/>
      <c r="G150" s="47"/>
      <c r="H150" s="47"/>
      <c r="I150" s="47"/>
      <c r="J150" s="47"/>
      <c r="K150" s="54"/>
      <c r="L150" s="11"/>
      <c r="M150" s="90"/>
      <c r="N150" s="399"/>
      <c r="O150" s="383"/>
      <c r="P150" s="90"/>
      <c r="Q150" s="11"/>
      <c r="R150" s="11"/>
      <c r="S150" s="11"/>
      <c r="T150" s="11"/>
    </row>
    <row r="151" spans="1:20" s="53" customFormat="1">
      <c r="A151" s="48" t="s">
        <v>378</v>
      </c>
      <c r="B151" s="48"/>
      <c r="C151" s="191" t="s">
        <v>58</v>
      </c>
      <c r="D151" s="173" t="s">
        <v>27</v>
      </c>
      <c r="E151" s="47">
        <v>12</v>
      </c>
      <c r="F151" s="47"/>
      <c r="G151" s="47"/>
      <c r="H151" s="47"/>
      <c r="I151" s="47"/>
      <c r="J151" s="47"/>
      <c r="K151" s="54"/>
      <c r="L151" s="11"/>
      <c r="M151" s="90"/>
      <c r="N151" s="399"/>
      <c r="O151" s="383"/>
      <c r="P151" s="90"/>
      <c r="Q151" s="11"/>
      <c r="R151" s="11"/>
      <c r="S151" s="11"/>
      <c r="T151" s="11"/>
    </row>
    <row r="152" spans="1:20" s="53" customFormat="1">
      <c r="A152" s="48" t="s">
        <v>379</v>
      </c>
      <c r="B152" s="48"/>
      <c r="C152" s="191" t="s">
        <v>59</v>
      </c>
      <c r="D152" s="173" t="s">
        <v>27</v>
      </c>
      <c r="E152" s="47">
        <v>7</v>
      </c>
      <c r="F152" s="47"/>
      <c r="G152" s="47"/>
      <c r="H152" s="47"/>
      <c r="I152" s="47"/>
      <c r="J152" s="47"/>
      <c r="K152" s="54"/>
      <c r="L152" s="11"/>
      <c r="M152" s="90"/>
      <c r="N152" s="399"/>
      <c r="O152" s="383"/>
      <c r="P152" s="90"/>
      <c r="Q152" s="11"/>
      <c r="R152" s="11"/>
      <c r="S152" s="11"/>
      <c r="T152" s="11"/>
    </row>
    <row r="153" spans="1:20" s="53" customFormat="1">
      <c r="A153" s="48" t="s">
        <v>385</v>
      </c>
      <c r="B153" s="48"/>
      <c r="C153" s="191" t="s">
        <v>321</v>
      </c>
      <c r="D153" s="173" t="s">
        <v>27</v>
      </c>
      <c r="E153" s="47">
        <v>11</v>
      </c>
      <c r="F153" s="47"/>
      <c r="G153" s="47"/>
      <c r="H153" s="47"/>
      <c r="I153" s="47"/>
      <c r="J153" s="47"/>
      <c r="K153" s="54"/>
      <c r="L153" s="11"/>
      <c r="M153" s="90"/>
      <c r="N153" s="399"/>
      <c r="O153" s="383"/>
      <c r="P153" s="90"/>
      <c r="Q153" s="11"/>
      <c r="R153" s="11"/>
      <c r="S153" s="11"/>
      <c r="T153" s="11"/>
    </row>
    <row r="154" spans="1:20" s="53" customFormat="1">
      <c r="A154" s="48" t="s">
        <v>391</v>
      </c>
      <c r="B154" s="48"/>
      <c r="C154" s="191" t="s">
        <v>293</v>
      </c>
      <c r="D154" s="173" t="s">
        <v>27</v>
      </c>
      <c r="E154" s="47">
        <v>12</v>
      </c>
      <c r="F154" s="47"/>
      <c r="G154" s="47"/>
      <c r="H154" s="47"/>
      <c r="I154" s="47"/>
      <c r="J154" s="47"/>
      <c r="K154" s="54"/>
      <c r="L154" s="11"/>
      <c r="M154" s="90"/>
      <c r="N154" s="399"/>
      <c r="O154" s="400"/>
      <c r="P154" s="90"/>
      <c r="Q154" s="11"/>
      <c r="R154" s="11"/>
      <c r="S154" s="11"/>
      <c r="T154" s="11"/>
    </row>
    <row r="155" spans="1:20" s="53" customFormat="1">
      <c r="A155" s="48" t="s">
        <v>392</v>
      </c>
      <c r="B155" s="48"/>
      <c r="C155" s="191" t="s">
        <v>617</v>
      </c>
      <c r="D155" s="173" t="s">
        <v>27</v>
      </c>
      <c r="E155" s="47">
        <v>6</v>
      </c>
      <c r="F155" s="47"/>
      <c r="G155" s="47"/>
      <c r="H155" s="47"/>
      <c r="I155" s="47"/>
      <c r="J155" s="47"/>
      <c r="K155" s="54"/>
      <c r="L155" s="11"/>
      <c r="M155" s="90"/>
      <c r="N155" s="399"/>
      <c r="O155" s="400"/>
      <c r="P155" s="90"/>
      <c r="Q155" s="11"/>
      <c r="R155" s="11"/>
      <c r="S155" s="11"/>
      <c r="T155" s="11"/>
    </row>
    <row r="156" spans="1:20" s="53" customFormat="1">
      <c r="A156" s="48" t="s">
        <v>393</v>
      </c>
      <c r="B156" s="48"/>
      <c r="C156" s="191" t="s">
        <v>618</v>
      </c>
      <c r="D156" s="173" t="s">
        <v>27</v>
      </c>
      <c r="E156" s="47">
        <v>2</v>
      </c>
      <c r="F156" s="47"/>
      <c r="G156" s="47"/>
      <c r="H156" s="47"/>
      <c r="I156" s="47"/>
      <c r="J156" s="47"/>
      <c r="K156" s="54"/>
      <c r="L156" s="11"/>
      <c r="M156" s="90"/>
      <c r="N156" s="401"/>
      <c r="O156" s="400"/>
      <c r="P156" s="90"/>
      <c r="Q156" s="11"/>
      <c r="R156" s="11"/>
      <c r="S156" s="11"/>
      <c r="T156" s="11"/>
    </row>
    <row r="157" spans="1:20" s="53" customFormat="1">
      <c r="A157" s="48" t="s">
        <v>394</v>
      </c>
      <c r="B157" s="48"/>
      <c r="C157" s="191" t="s">
        <v>619</v>
      </c>
      <c r="D157" s="173" t="s">
        <v>27</v>
      </c>
      <c r="E157" s="47">
        <v>11</v>
      </c>
      <c r="F157" s="47"/>
      <c r="G157" s="47"/>
      <c r="H157" s="47"/>
      <c r="I157" s="47"/>
      <c r="J157" s="47"/>
      <c r="K157" s="54"/>
      <c r="L157" s="11"/>
      <c r="M157" s="90"/>
      <c r="N157" s="399"/>
      <c r="O157" s="383"/>
      <c r="P157" s="90"/>
      <c r="Q157" s="11"/>
      <c r="R157" s="11"/>
      <c r="S157" s="11"/>
      <c r="T157" s="11"/>
    </row>
    <row r="158" spans="1:20" s="53" customFormat="1">
      <c r="A158" s="48" t="s">
        <v>395</v>
      </c>
      <c r="B158" s="48"/>
      <c r="C158" s="191" t="s">
        <v>60</v>
      </c>
      <c r="D158" s="173" t="s">
        <v>27</v>
      </c>
      <c r="E158" s="47">
        <v>14</v>
      </c>
      <c r="F158" s="47"/>
      <c r="G158" s="47"/>
      <c r="H158" s="47"/>
      <c r="I158" s="47"/>
      <c r="J158" s="47"/>
      <c r="K158" s="54"/>
      <c r="L158" s="11"/>
      <c r="M158" s="90"/>
      <c r="N158" s="399"/>
      <c r="O158" s="383"/>
      <c r="P158" s="90"/>
      <c r="Q158" s="11"/>
      <c r="R158" s="11"/>
      <c r="S158" s="11"/>
      <c r="T158" s="11"/>
    </row>
    <row r="159" spans="1:20" s="53" customFormat="1">
      <c r="A159" s="48" t="s">
        <v>396</v>
      </c>
      <c r="B159" s="48"/>
      <c r="C159" s="191" t="s">
        <v>61</v>
      </c>
      <c r="D159" s="173" t="s">
        <v>27</v>
      </c>
      <c r="E159" s="47">
        <v>7</v>
      </c>
      <c r="F159" s="47"/>
      <c r="G159" s="47"/>
      <c r="H159" s="47"/>
      <c r="I159" s="47"/>
      <c r="J159" s="47"/>
      <c r="K159" s="54"/>
      <c r="L159" s="11"/>
      <c r="M159" s="90"/>
      <c r="N159" s="399"/>
      <c r="O159" s="383"/>
      <c r="P159" s="90"/>
      <c r="Q159" s="11"/>
      <c r="R159" s="11"/>
      <c r="S159" s="11"/>
      <c r="T159" s="11"/>
    </row>
    <row r="160" spans="1:20" s="53" customFormat="1">
      <c r="A160" s="48" t="s">
        <v>397</v>
      </c>
      <c r="B160" s="48"/>
      <c r="C160" s="191" t="s">
        <v>294</v>
      </c>
      <c r="D160" s="173" t="s">
        <v>27</v>
      </c>
      <c r="E160" s="47">
        <v>7</v>
      </c>
      <c r="F160" s="47"/>
      <c r="G160" s="47"/>
      <c r="H160" s="47"/>
      <c r="I160" s="47"/>
      <c r="J160" s="47"/>
      <c r="K160" s="54"/>
      <c r="L160" s="11"/>
      <c r="M160" s="90"/>
      <c r="N160" s="399"/>
      <c r="O160" s="383"/>
      <c r="P160" s="90"/>
      <c r="Q160" s="11"/>
      <c r="R160" s="11"/>
      <c r="S160" s="11"/>
      <c r="T160" s="11"/>
    </row>
    <row r="161" spans="1:20" s="53" customFormat="1">
      <c r="A161" s="48" t="s">
        <v>398</v>
      </c>
      <c r="B161" s="48"/>
      <c r="C161" s="191" t="s">
        <v>295</v>
      </c>
      <c r="D161" s="173" t="s">
        <v>27</v>
      </c>
      <c r="E161" s="47">
        <v>7</v>
      </c>
      <c r="F161" s="47"/>
      <c r="G161" s="47"/>
      <c r="H161" s="47"/>
      <c r="I161" s="47"/>
      <c r="J161" s="47"/>
      <c r="K161" s="54"/>
      <c r="L161" s="11"/>
      <c r="M161" s="90"/>
      <c r="N161" s="399"/>
      <c r="O161" s="383"/>
      <c r="P161" s="90"/>
      <c r="Q161" s="11"/>
      <c r="R161" s="11"/>
      <c r="S161" s="11"/>
      <c r="T161" s="11"/>
    </row>
    <row r="162" spans="1:20" s="53" customFormat="1">
      <c r="A162" s="48" t="s">
        <v>399</v>
      </c>
      <c r="B162" s="48"/>
      <c r="C162" s="191" t="s">
        <v>62</v>
      </c>
      <c r="D162" s="173" t="s">
        <v>27</v>
      </c>
      <c r="E162" s="47">
        <v>19</v>
      </c>
      <c r="F162" s="47"/>
      <c r="G162" s="47"/>
      <c r="H162" s="47"/>
      <c r="I162" s="47"/>
      <c r="J162" s="47"/>
      <c r="K162" s="54"/>
      <c r="L162" s="11"/>
      <c r="M162" s="90"/>
      <c r="N162" s="399"/>
      <c r="O162" s="383"/>
      <c r="P162" s="90"/>
      <c r="Q162" s="11"/>
      <c r="R162" s="11"/>
      <c r="S162" s="11"/>
      <c r="T162" s="11"/>
    </row>
    <row r="163" spans="1:20" s="53" customFormat="1">
      <c r="A163" s="48" t="s">
        <v>412</v>
      </c>
      <c r="B163" s="48"/>
      <c r="C163" s="191" t="s">
        <v>322</v>
      </c>
      <c r="D163" s="173" t="s">
        <v>27</v>
      </c>
      <c r="E163" s="47">
        <v>10</v>
      </c>
      <c r="F163" s="47"/>
      <c r="G163" s="47"/>
      <c r="H163" s="47"/>
      <c r="I163" s="47"/>
      <c r="J163" s="47"/>
      <c r="K163" s="54"/>
      <c r="L163" s="11"/>
      <c r="M163" s="90"/>
      <c r="N163" s="399"/>
      <c r="O163" s="383"/>
      <c r="P163" s="90"/>
      <c r="Q163" s="11"/>
      <c r="R163" s="11"/>
      <c r="S163" s="11"/>
      <c r="T163" s="11"/>
    </row>
    <row r="164" spans="1:20" s="53" customFormat="1">
      <c r="A164" s="48" t="s">
        <v>413</v>
      </c>
      <c r="B164" s="48"/>
      <c r="C164" s="191" t="s">
        <v>323</v>
      </c>
      <c r="D164" s="173" t="s">
        <v>27</v>
      </c>
      <c r="E164" s="47">
        <v>2</v>
      </c>
      <c r="F164" s="47"/>
      <c r="G164" s="47"/>
      <c r="H164" s="47"/>
      <c r="I164" s="47"/>
      <c r="J164" s="47"/>
      <c r="K164" s="54"/>
      <c r="L164" s="11"/>
      <c r="M164" s="90"/>
      <c r="N164" s="399"/>
      <c r="O164" s="383"/>
      <c r="P164" s="90"/>
      <c r="Q164" s="11"/>
      <c r="R164" s="11"/>
      <c r="S164" s="11"/>
      <c r="T164" s="11"/>
    </row>
    <row r="165" spans="1:20" s="53" customFormat="1">
      <c r="A165" s="48" t="s">
        <v>414</v>
      </c>
      <c r="B165" s="48"/>
      <c r="C165" s="191" t="s">
        <v>66</v>
      </c>
      <c r="D165" s="173" t="s">
        <v>27</v>
      </c>
      <c r="E165" s="47">
        <v>12</v>
      </c>
      <c r="F165" s="47"/>
      <c r="G165" s="47"/>
      <c r="H165" s="47"/>
      <c r="I165" s="47"/>
      <c r="J165" s="47"/>
      <c r="K165" s="54"/>
      <c r="L165" s="11"/>
      <c r="M165" s="90"/>
      <c r="N165" s="399"/>
      <c r="O165" s="383"/>
      <c r="P165" s="90"/>
      <c r="Q165" s="11"/>
      <c r="R165" s="11"/>
      <c r="S165" s="11"/>
      <c r="T165" s="11"/>
    </row>
    <row r="166" spans="1:20" s="53" customFormat="1">
      <c r="A166" s="48" t="s">
        <v>415</v>
      </c>
      <c r="B166" s="48"/>
      <c r="C166" s="191" t="s">
        <v>324</v>
      </c>
      <c r="D166" s="173" t="s">
        <v>27</v>
      </c>
      <c r="E166" s="47">
        <v>1</v>
      </c>
      <c r="F166" s="47"/>
      <c r="G166" s="47"/>
      <c r="H166" s="47"/>
      <c r="I166" s="47"/>
      <c r="J166" s="47"/>
      <c r="K166" s="54"/>
      <c r="L166" s="11"/>
      <c r="M166" s="90"/>
      <c r="N166" s="399"/>
      <c r="O166" s="383"/>
      <c r="P166" s="90"/>
      <c r="Q166" s="11"/>
      <c r="R166" s="11"/>
      <c r="S166" s="11"/>
      <c r="T166" s="11"/>
    </row>
    <row r="167" spans="1:20" s="53" customFormat="1">
      <c r="A167" s="48" t="s">
        <v>416</v>
      </c>
      <c r="B167" s="48"/>
      <c r="C167" s="191" t="s">
        <v>296</v>
      </c>
      <c r="D167" s="173" t="s">
        <v>27</v>
      </c>
      <c r="E167" s="47">
        <v>12</v>
      </c>
      <c r="F167" s="47"/>
      <c r="G167" s="47"/>
      <c r="H167" s="47"/>
      <c r="I167" s="47"/>
      <c r="J167" s="47"/>
      <c r="K167" s="54"/>
      <c r="L167" s="11"/>
      <c r="M167" s="90"/>
      <c r="N167" s="402"/>
      <c r="O167" s="383"/>
      <c r="P167" s="90"/>
      <c r="Q167" s="11"/>
      <c r="R167" s="11"/>
      <c r="S167" s="11"/>
      <c r="T167" s="11"/>
    </row>
    <row r="168" spans="1:20" s="53" customFormat="1">
      <c r="A168" s="48" t="s">
        <v>417</v>
      </c>
      <c r="B168" s="48"/>
      <c r="C168" s="191" t="s">
        <v>298</v>
      </c>
      <c r="D168" s="173" t="s">
        <v>27</v>
      </c>
      <c r="E168" s="47">
        <v>9</v>
      </c>
      <c r="F168" s="47"/>
      <c r="G168" s="47"/>
      <c r="H168" s="47"/>
      <c r="I168" s="47"/>
      <c r="J168" s="47"/>
      <c r="K168" s="54"/>
      <c r="L168" s="11"/>
      <c r="M168" s="90"/>
      <c r="N168" s="399"/>
      <c r="O168" s="383"/>
      <c r="P168" s="90"/>
      <c r="Q168" s="11"/>
      <c r="R168" s="11"/>
      <c r="S168" s="11"/>
      <c r="T168" s="11"/>
    </row>
    <row r="169" spans="1:20" s="53" customFormat="1">
      <c r="A169" s="48" t="s">
        <v>418</v>
      </c>
      <c r="B169" s="48"/>
      <c r="C169" s="191" t="s">
        <v>299</v>
      </c>
      <c r="D169" s="173" t="s">
        <v>27</v>
      </c>
      <c r="E169" s="47">
        <v>3</v>
      </c>
      <c r="F169" s="47"/>
      <c r="G169" s="47"/>
      <c r="H169" s="47"/>
      <c r="I169" s="47"/>
      <c r="J169" s="47"/>
      <c r="K169" s="54"/>
      <c r="L169" s="11"/>
      <c r="M169" s="90"/>
      <c r="N169" s="399"/>
      <c r="O169" s="383"/>
      <c r="P169" s="90"/>
      <c r="Q169" s="11"/>
      <c r="R169" s="11"/>
      <c r="S169" s="11"/>
      <c r="T169" s="11"/>
    </row>
    <row r="170" spans="1:20" s="53" customFormat="1">
      <c r="A170" s="48" t="s">
        <v>419</v>
      </c>
      <c r="B170" s="48"/>
      <c r="C170" s="191" t="s">
        <v>63</v>
      </c>
      <c r="D170" s="173" t="s">
        <v>27</v>
      </c>
      <c r="E170" s="47">
        <v>9</v>
      </c>
      <c r="F170" s="47"/>
      <c r="G170" s="47"/>
      <c r="H170" s="47"/>
      <c r="I170" s="47"/>
      <c r="J170" s="47"/>
      <c r="K170" s="54"/>
      <c r="L170" s="11"/>
      <c r="M170" s="90"/>
      <c r="N170" s="399"/>
      <c r="O170" s="383"/>
      <c r="P170" s="90"/>
      <c r="Q170" s="11"/>
      <c r="R170" s="11"/>
      <c r="S170" s="11"/>
      <c r="T170" s="11"/>
    </row>
    <row r="171" spans="1:20" s="53" customFormat="1">
      <c r="A171" s="48" t="s">
        <v>420</v>
      </c>
      <c r="B171" s="48"/>
      <c r="C171" s="191" t="s">
        <v>301</v>
      </c>
      <c r="D171" s="173" t="s">
        <v>27</v>
      </c>
      <c r="E171" s="47">
        <v>3</v>
      </c>
      <c r="F171" s="47"/>
      <c r="G171" s="47"/>
      <c r="H171" s="47"/>
      <c r="I171" s="47"/>
      <c r="J171" s="47"/>
      <c r="K171" s="54"/>
      <c r="L171" s="11"/>
      <c r="M171" s="90"/>
      <c r="N171" s="399"/>
      <c r="O171" s="383"/>
      <c r="P171" s="90"/>
      <c r="Q171" s="11"/>
      <c r="R171" s="11"/>
      <c r="S171" s="11"/>
      <c r="T171" s="11"/>
    </row>
    <row r="172" spans="1:20" s="53" customFormat="1">
      <c r="A172" s="48" t="s">
        <v>606</v>
      </c>
      <c r="B172" s="328" t="s">
        <v>848</v>
      </c>
      <c r="C172" s="202" t="s">
        <v>838</v>
      </c>
      <c r="D172" s="334" t="s">
        <v>27</v>
      </c>
      <c r="E172" s="54">
        <v>1</v>
      </c>
      <c r="F172" s="54"/>
      <c r="G172" s="47"/>
      <c r="H172" s="47"/>
      <c r="I172" s="47"/>
      <c r="J172" s="47"/>
      <c r="K172" s="54"/>
      <c r="L172" s="11"/>
      <c r="M172" s="90"/>
      <c r="N172" s="402"/>
      <c r="O172" s="383"/>
      <c r="P172" s="90"/>
      <c r="Q172" s="11"/>
      <c r="R172" s="11"/>
      <c r="S172" s="11"/>
      <c r="T172" s="11"/>
    </row>
    <row r="173" spans="1:20" s="53" customFormat="1">
      <c r="A173" s="48" t="s">
        <v>607</v>
      </c>
      <c r="B173" s="48"/>
      <c r="C173" s="191" t="s">
        <v>843</v>
      </c>
      <c r="D173" s="173" t="s">
        <v>27</v>
      </c>
      <c r="E173" s="47">
        <v>1</v>
      </c>
      <c r="F173" s="47"/>
      <c r="G173" s="47"/>
      <c r="H173" s="47"/>
      <c r="I173" s="47"/>
      <c r="J173" s="47"/>
      <c r="K173" s="54"/>
      <c r="L173" s="11"/>
      <c r="M173" s="90"/>
      <c r="N173" s="90"/>
      <c r="O173" s="90"/>
      <c r="P173" s="90"/>
      <c r="Q173" s="11"/>
      <c r="R173" s="11"/>
      <c r="S173" s="11"/>
      <c r="T173" s="11"/>
    </row>
    <row r="174" spans="1:20" s="53" customFormat="1">
      <c r="A174" s="48" t="s">
        <v>608</v>
      </c>
      <c r="B174" s="48"/>
      <c r="C174" s="191" t="s">
        <v>600</v>
      </c>
      <c r="D174" s="173" t="s">
        <v>27</v>
      </c>
      <c r="E174" s="47">
        <v>1</v>
      </c>
      <c r="F174" s="47"/>
      <c r="G174" s="47"/>
      <c r="H174" s="47"/>
      <c r="I174" s="47"/>
      <c r="J174" s="47"/>
      <c r="K174" s="54"/>
      <c r="L174" s="11"/>
      <c r="M174" s="11"/>
      <c r="N174" s="11"/>
      <c r="O174" s="11"/>
      <c r="P174" s="11"/>
      <c r="Q174" s="11"/>
      <c r="R174" s="11"/>
      <c r="S174" s="11"/>
      <c r="T174" s="11"/>
    </row>
    <row r="175" spans="1:20" s="53" customFormat="1" ht="24.75">
      <c r="A175" s="48" t="s">
        <v>609</v>
      </c>
      <c r="B175" s="48"/>
      <c r="C175" s="191" t="s">
        <v>641</v>
      </c>
      <c r="D175" s="173" t="s">
        <v>27</v>
      </c>
      <c r="E175" s="47">
        <v>4</v>
      </c>
      <c r="F175" s="47"/>
      <c r="G175" s="47"/>
      <c r="H175" s="47"/>
      <c r="I175" s="47"/>
      <c r="J175" s="47"/>
      <c r="K175" s="54"/>
      <c r="L175" s="11"/>
      <c r="M175" s="11"/>
      <c r="N175" s="11"/>
      <c r="O175" s="11"/>
      <c r="P175" s="11"/>
      <c r="Q175" s="11"/>
      <c r="R175" s="11"/>
      <c r="S175" s="11"/>
      <c r="T175" s="11"/>
    </row>
    <row r="176" spans="1:20" s="53" customFormat="1">
      <c r="A176" s="48" t="s">
        <v>610</v>
      </c>
      <c r="B176" s="48"/>
      <c r="C176" s="191" t="s">
        <v>326</v>
      </c>
      <c r="D176" s="173" t="s">
        <v>27</v>
      </c>
      <c r="E176" s="47">
        <v>1</v>
      </c>
      <c r="F176" s="47"/>
      <c r="G176" s="47"/>
      <c r="H176" s="47"/>
      <c r="I176" s="47"/>
      <c r="J176" s="47"/>
      <c r="K176" s="54"/>
      <c r="L176" s="11"/>
      <c r="M176" s="11"/>
      <c r="N176" s="11"/>
      <c r="O176" s="11"/>
      <c r="P176" s="11"/>
      <c r="Q176" s="11"/>
      <c r="R176" s="11"/>
      <c r="S176" s="11"/>
      <c r="T176" s="11"/>
    </row>
    <row r="177" spans="1:22" s="53" customFormat="1">
      <c r="A177" s="48" t="s">
        <v>611</v>
      </c>
      <c r="B177" s="48"/>
      <c r="C177" s="191" t="s">
        <v>303</v>
      </c>
      <c r="D177" s="173" t="s">
        <v>27</v>
      </c>
      <c r="E177" s="47">
        <v>8</v>
      </c>
      <c r="F177" s="47"/>
      <c r="G177" s="47"/>
      <c r="H177" s="47"/>
      <c r="I177" s="47"/>
      <c r="J177" s="47"/>
      <c r="K177" s="54"/>
      <c r="L177" s="11"/>
      <c r="M177" s="11"/>
      <c r="N177" s="11"/>
      <c r="O177" s="11"/>
      <c r="P177" s="11"/>
      <c r="Q177" s="11"/>
      <c r="R177" s="11"/>
      <c r="S177" s="11"/>
      <c r="T177" s="11"/>
    </row>
    <row r="178" spans="1:22" s="53" customFormat="1">
      <c r="A178" s="48" t="s">
        <v>612</v>
      </c>
      <c r="B178" s="48"/>
      <c r="C178" s="191" t="s">
        <v>620</v>
      </c>
      <c r="D178" s="173" t="s">
        <v>27</v>
      </c>
      <c r="E178" s="47">
        <v>12</v>
      </c>
      <c r="F178" s="47"/>
      <c r="G178" s="47"/>
      <c r="H178" s="47"/>
      <c r="I178" s="47"/>
      <c r="J178" s="47"/>
      <c r="K178" s="54"/>
      <c r="L178" s="11"/>
      <c r="M178" s="11"/>
      <c r="N178" s="11"/>
      <c r="O178" s="11"/>
      <c r="P178" s="11"/>
      <c r="Q178" s="11"/>
      <c r="R178" s="11"/>
      <c r="S178" s="11"/>
      <c r="T178" s="11"/>
    </row>
    <row r="179" spans="1:22" s="53" customFormat="1">
      <c r="A179" s="48" t="s">
        <v>613</v>
      </c>
      <c r="B179" s="48"/>
      <c r="C179" s="191" t="s">
        <v>65</v>
      </c>
      <c r="D179" s="173" t="s">
        <v>27</v>
      </c>
      <c r="E179" s="47">
        <v>2</v>
      </c>
      <c r="F179" s="47"/>
      <c r="G179" s="47"/>
      <c r="H179" s="47"/>
      <c r="I179" s="47"/>
      <c r="J179" s="47"/>
      <c r="K179" s="54"/>
      <c r="L179" s="11"/>
      <c r="M179" s="11"/>
      <c r="N179" s="11"/>
      <c r="O179" s="11"/>
      <c r="P179" s="11"/>
      <c r="Q179" s="11"/>
      <c r="R179" s="11"/>
      <c r="S179" s="11"/>
      <c r="T179" s="11"/>
    </row>
    <row r="180" spans="1:22" s="53" customFormat="1">
      <c r="A180" s="48" t="s">
        <v>614</v>
      </c>
      <c r="B180" s="48"/>
      <c r="C180" s="191" t="s">
        <v>636</v>
      </c>
      <c r="D180" s="173" t="s">
        <v>27</v>
      </c>
      <c r="E180" s="47">
        <v>12</v>
      </c>
      <c r="F180" s="47"/>
      <c r="G180" s="47"/>
      <c r="H180" s="47"/>
      <c r="I180" s="47"/>
      <c r="J180" s="47"/>
      <c r="K180" s="54"/>
      <c r="L180" s="11"/>
      <c r="M180" s="11"/>
      <c r="N180" s="11"/>
      <c r="O180" s="11"/>
      <c r="P180" s="11"/>
      <c r="Q180" s="11"/>
      <c r="R180" s="11"/>
      <c r="S180" s="11"/>
      <c r="T180" s="11"/>
    </row>
    <row r="181" spans="1:22" s="53" customFormat="1">
      <c r="A181" s="48" t="s">
        <v>628</v>
      </c>
      <c r="B181" s="48"/>
      <c r="C181" s="191" t="s">
        <v>625</v>
      </c>
      <c r="D181" s="173" t="s">
        <v>27</v>
      </c>
      <c r="E181" s="47">
        <v>2</v>
      </c>
      <c r="F181" s="47"/>
      <c r="G181" s="47"/>
      <c r="H181" s="47"/>
      <c r="I181" s="47"/>
      <c r="J181" s="47"/>
      <c r="K181" s="54"/>
      <c r="L181" s="11"/>
      <c r="M181" s="11"/>
      <c r="N181" s="11"/>
      <c r="O181" s="11"/>
      <c r="P181" s="11"/>
      <c r="Q181" s="11"/>
      <c r="R181" s="11"/>
      <c r="S181" s="11"/>
      <c r="T181" s="11"/>
    </row>
    <row r="182" spans="1:22" s="53" customFormat="1">
      <c r="A182" s="48" t="s">
        <v>629</v>
      </c>
      <c r="B182" s="48"/>
      <c r="C182" s="191" t="s">
        <v>626</v>
      </c>
      <c r="D182" s="173" t="s">
        <v>27</v>
      </c>
      <c r="E182" s="47">
        <v>2</v>
      </c>
      <c r="F182" s="47"/>
      <c r="G182" s="47"/>
      <c r="H182" s="47"/>
      <c r="I182" s="47"/>
      <c r="J182" s="47"/>
      <c r="K182" s="54"/>
      <c r="L182" s="11"/>
      <c r="M182" s="11"/>
      <c r="N182" s="11"/>
      <c r="O182" s="11"/>
      <c r="P182" s="11"/>
      <c r="Q182" s="11"/>
      <c r="R182" s="11"/>
      <c r="S182" s="11"/>
      <c r="T182" s="11"/>
    </row>
    <row r="183" spans="1:22" s="53" customFormat="1">
      <c r="A183" s="48" t="s">
        <v>630</v>
      </c>
      <c r="B183" s="48"/>
      <c r="C183" s="191" t="s">
        <v>627</v>
      </c>
      <c r="D183" s="173" t="s">
        <v>27</v>
      </c>
      <c r="E183" s="47">
        <v>2</v>
      </c>
      <c r="F183" s="47"/>
      <c r="G183" s="47"/>
      <c r="H183" s="47"/>
      <c r="I183" s="47"/>
      <c r="J183" s="47"/>
      <c r="K183" s="54"/>
      <c r="L183" s="11"/>
      <c r="M183" s="11"/>
      <c r="N183" s="11"/>
      <c r="O183" s="11"/>
      <c r="P183" s="11"/>
      <c r="Q183" s="11"/>
      <c r="R183" s="11"/>
      <c r="S183" s="11"/>
      <c r="T183" s="11"/>
    </row>
    <row r="184" spans="1:22" s="53" customFormat="1">
      <c r="A184" s="48" t="s">
        <v>631</v>
      </c>
      <c r="B184" s="197">
        <v>21102</v>
      </c>
      <c r="C184" s="191" t="s">
        <v>635</v>
      </c>
      <c r="D184" s="173" t="s">
        <v>27</v>
      </c>
      <c r="E184" s="47">
        <v>10</v>
      </c>
      <c r="F184" s="47"/>
      <c r="G184" s="47"/>
      <c r="H184" s="47"/>
      <c r="I184" s="47"/>
      <c r="J184" s="47"/>
      <c r="K184" s="54"/>
      <c r="L184" s="11"/>
      <c r="M184" s="11"/>
      <c r="N184" s="11"/>
      <c r="O184" s="11"/>
      <c r="P184" s="11"/>
      <c r="Q184" s="11"/>
      <c r="R184" s="11"/>
      <c r="S184" s="11"/>
      <c r="T184" s="11"/>
    </row>
    <row r="185" spans="1:22" s="53" customFormat="1">
      <c r="A185" s="48" t="s">
        <v>632</v>
      </c>
      <c r="B185" s="197">
        <v>11703</v>
      </c>
      <c r="C185" s="191" t="s">
        <v>638</v>
      </c>
      <c r="D185" s="173" t="s">
        <v>27</v>
      </c>
      <c r="E185" s="47">
        <v>10</v>
      </c>
      <c r="F185" s="47"/>
      <c r="G185" s="47"/>
      <c r="H185" s="47"/>
      <c r="I185" s="47"/>
      <c r="J185" s="47"/>
      <c r="K185" s="54"/>
      <c r="L185" s="11"/>
      <c r="M185" s="11"/>
      <c r="N185" s="11"/>
      <c r="O185" s="11"/>
      <c r="P185" s="11"/>
      <c r="Q185" s="11"/>
      <c r="R185" s="11"/>
      <c r="S185" s="11"/>
      <c r="T185" s="11"/>
    </row>
    <row r="186" spans="1:22" s="53" customFormat="1">
      <c r="A186" s="48" t="s">
        <v>633</v>
      </c>
      <c r="B186" s="48"/>
      <c r="C186" s="191" t="s">
        <v>637</v>
      </c>
      <c r="D186" s="173" t="s">
        <v>27</v>
      </c>
      <c r="E186" s="47">
        <v>10</v>
      </c>
      <c r="F186" s="47"/>
      <c r="G186" s="47"/>
      <c r="H186" s="47"/>
      <c r="I186" s="47"/>
      <c r="J186" s="47"/>
      <c r="K186" s="54"/>
      <c r="L186" s="11"/>
      <c r="M186" s="11"/>
      <c r="N186" s="11"/>
      <c r="O186" s="11"/>
      <c r="P186" s="11"/>
      <c r="Q186" s="11"/>
      <c r="R186" s="11"/>
      <c r="S186" s="11"/>
      <c r="T186" s="11"/>
    </row>
    <row r="187" spans="1:22" s="53" customFormat="1">
      <c r="A187" s="48" t="s">
        <v>634</v>
      </c>
      <c r="B187" s="197">
        <v>21101</v>
      </c>
      <c r="C187" s="191" t="s">
        <v>639</v>
      </c>
      <c r="D187" s="173" t="s">
        <v>27</v>
      </c>
      <c r="E187" s="47">
        <v>10</v>
      </c>
      <c r="F187" s="47"/>
      <c r="G187" s="47"/>
      <c r="H187" s="47"/>
      <c r="I187" s="47"/>
      <c r="J187" s="47"/>
      <c r="K187" s="54"/>
      <c r="L187" s="11"/>
      <c r="M187" s="11"/>
      <c r="N187" s="11"/>
      <c r="O187" s="11"/>
      <c r="P187" s="11"/>
      <c r="Q187" s="11"/>
      <c r="R187" s="11"/>
      <c r="S187" s="11"/>
      <c r="T187" s="11"/>
    </row>
    <row r="188" spans="1:22" s="53" customFormat="1">
      <c r="A188" s="48" t="s">
        <v>640</v>
      </c>
      <c r="B188" s="380" t="s">
        <v>836</v>
      </c>
      <c r="C188" s="440" t="s">
        <v>864</v>
      </c>
      <c r="D188" s="213" t="s">
        <v>28</v>
      </c>
      <c r="E188" s="382">
        <v>52.44</v>
      </c>
      <c r="F188" s="47"/>
      <c r="G188" s="47"/>
      <c r="H188" s="47"/>
      <c r="I188" s="47"/>
      <c r="J188" s="47"/>
      <c r="K188" s="54"/>
      <c r="L188" s="11"/>
      <c r="M188" s="11"/>
      <c r="N188" s="11"/>
      <c r="O188" s="11"/>
      <c r="P188" s="11"/>
      <c r="Q188" s="11"/>
      <c r="R188" s="11"/>
      <c r="S188" s="11"/>
      <c r="T188" s="11"/>
    </row>
    <row r="189" spans="1:22">
      <c r="A189" s="479" t="s">
        <v>139</v>
      </c>
      <c r="B189" s="480"/>
      <c r="C189" s="480"/>
      <c r="D189" s="480"/>
      <c r="E189" s="480"/>
      <c r="F189" s="480"/>
      <c r="G189" s="480"/>
      <c r="H189" s="480"/>
      <c r="I189" s="481"/>
      <c r="J189" s="23"/>
      <c r="K189" s="39"/>
      <c r="L189" s="11"/>
      <c r="M189" s="11"/>
      <c r="N189" s="11"/>
      <c r="O189" s="11"/>
      <c r="P189" s="11"/>
      <c r="Q189" s="11"/>
      <c r="R189" s="11"/>
      <c r="S189" s="11"/>
      <c r="T189" s="11"/>
    </row>
    <row r="190" spans="1:22" s="74" customFormat="1">
      <c r="A190" s="70" t="s">
        <v>113</v>
      </c>
      <c r="B190" s="477" t="s">
        <v>114</v>
      </c>
      <c r="C190" s="478"/>
      <c r="D190" s="478"/>
      <c r="E190" s="478"/>
      <c r="F190" s="478"/>
      <c r="G190" s="478"/>
      <c r="H190" s="478"/>
      <c r="I190" s="478"/>
      <c r="J190" s="478"/>
      <c r="K190" s="478"/>
      <c r="L190" s="78"/>
      <c r="M190" s="73"/>
      <c r="N190" s="73"/>
      <c r="O190" s="73"/>
      <c r="P190" s="73"/>
      <c r="Q190" s="73"/>
      <c r="R190" s="73"/>
      <c r="S190" s="73"/>
      <c r="T190" s="73"/>
      <c r="U190" s="73"/>
      <c r="V190" s="73"/>
    </row>
    <row r="191" spans="1:22" s="81" customFormat="1">
      <c r="A191" s="124" t="s">
        <v>115</v>
      </c>
      <c r="B191" s="180"/>
      <c r="C191" s="430" t="s">
        <v>842</v>
      </c>
      <c r="D191" s="182" t="s">
        <v>28</v>
      </c>
      <c r="E191" s="117">
        <v>46.2</v>
      </c>
      <c r="F191" s="421"/>
      <c r="G191" s="421"/>
      <c r="H191" s="421"/>
      <c r="I191" s="421"/>
      <c r="J191" s="421"/>
      <c r="K191" s="421"/>
      <c r="L191" s="78"/>
      <c r="M191" s="73"/>
      <c r="N191" s="73"/>
      <c r="O191" s="73"/>
      <c r="P191" s="73"/>
      <c r="Q191" s="73"/>
      <c r="R191" s="73"/>
      <c r="S191" s="73"/>
      <c r="T191" s="73"/>
      <c r="U191" s="73"/>
      <c r="V191" s="73"/>
    </row>
    <row r="192" spans="1:22" s="154" customFormat="1" ht="14.25">
      <c r="A192" s="124" t="s">
        <v>116</v>
      </c>
      <c r="B192" s="180">
        <v>72075</v>
      </c>
      <c r="C192" s="430" t="s">
        <v>342</v>
      </c>
      <c r="D192" s="182" t="s">
        <v>29</v>
      </c>
      <c r="E192" s="117">
        <f>E209+17.58+7.46+4.85+(3.75*9)</f>
        <v>431.53225000000003</v>
      </c>
      <c r="F192" s="183"/>
      <c r="G192" s="47"/>
      <c r="H192" s="183"/>
      <c r="I192" s="47"/>
      <c r="J192" s="47"/>
      <c r="K192" s="47"/>
      <c r="L192" s="120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</row>
    <row r="193" spans="1:22" s="74" customFormat="1">
      <c r="A193" s="462" t="s">
        <v>117</v>
      </c>
      <c r="B193" s="463"/>
      <c r="C193" s="463"/>
      <c r="D193" s="463"/>
      <c r="E193" s="463"/>
      <c r="F193" s="463"/>
      <c r="G193" s="463"/>
      <c r="H193" s="463"/>
      <c r="I193" s="464"/>
      <c r="J193" s="23"/>
      <c r="K193" s="23"/>
      <c r="L193" s="79"/>
      <c r="M193" s="73"/>
      <c r="N193" s="73"/>
      <c r="O193" s="73"/>
      <c r="P193" s="73"/>
      <c r="Q193" s="73"/>
      <c r="R193" s="73"/>
      <c r="S193" s="73"/>
      <c r="T193" s="73"/>
      <c r="U193" s="73"/>
      <c r="V193" s="73"/>
    </row>
    <row r="194" spans="1:22">
      <c r="A194" s="60" t="s">
        <v>140</v>
      </c>
      <c r="B194" s="458" t="s">
        <v>118</v>
      </c>
      <c r="C194" s="459"/>
      <c r="D194" s="459"/>
      <c r="E194" s="459"/>
      <c r="F194" s="459"/>
      <c r="G194" s="459"/>
      <c r="H194" s="459"/>
      <c r="I194" s="459"/>
      <c r="J194" s="459"/>
      <c r="K194" s="473"/>
      <c r="L194" s="11"/>
      <c r="M194" s="11"/>
      <c r="N194" s="11"/>
      <c r="O194" s="11"/>
      <c r="P194" s="11"/>
      <c r="Q194" s="11"/>
      <c r="R194" s="11"/>
      <c r="S194" s="11"/>
      <c r="T194" s="11"/>
    </row>
    <row r="195" spans="1:22" s="53" customFormat="1">
      <c r="A195" s="96" t="s">
        <v>380</v>
      </c>
      <c r="B195" s="96"/>
      <c r="C195" s="97" t="s">
        <v>304</v>
      </c>
      <c r="D195" s="92" t="s">
        <v>27</v>
      </c>
      <c r="E195" s="95">
        <v>4</v>
      </c>
      <c r="F195" s="95"/>
      <c r="G195" s="95"/>
      <c r="H195" s="95"/>
      <c r="I195" s="95"/>
      <c r="J195" s="47"/>
      <c r="K195" s="54"/>
      <c r="L195" s="11"/>
      <c r="M195" s="11"/>
      <c r="N195" s="11"/>
      <c r="O195" s="11"/>
      <c r="P195" s="11"/>
      <c r="Q195" s="11"/>
      <c r="R195" s="11"/>
      <c r="S195" s="11"/>
      <c r="T195" s="11"/>
    </row>
    <row r="196" spans="1:22" s="53" customFormat="1">
      <c r="A196" s="96" t="s">
        <v>381</v>
      </c>
      <c r="B196" s="96"/>
      <c r="C196" s="97" t="s">
        <v>305</v>
      </c>
      <c r="D196" s="92" t="s">
        <v>27</v>
      </c>
      <c r="E196" s="95">
        <v>2</v>
      </c>
      <c r="F196" s="95"/>
      <c r="G196" s="95"/>
      <c r="H196" s="95"/>
      <c r="I196" s="95"/>
      <c r="J196" s="47"/>
      <c r="K196" s="54"/>
      <c r="L196" s="11"/>
      <c r="M196" s="11"/>
      <c r="N196" s="11"/>
      <c r="O196" s="11"/>
      <c r="P196" s="11"/>
      <c r="Q196" s="11"/>
      <c r="R196" s="11"/>
      <c r="S196" s="11"/>
      <c r="T196" s="11"/>
    </row>
    <row r="197" spans="1:22" s="53" customFormat="1">
      <c r="A197" s="96" t="s">
        <v>384</v>
      </c>
      <c r="B197" s="96"/>
      <c r="C197" s="97" t="s">
        <v>327</v>
      </c>
      <c r="D197" s="92" t="s">
        <v>27</v>
      </c>
      <c r="E197" s="95">
        <v>1</v>
      </c>
      <c r="F197" s="95"/>
      <c r="G197" s="95"/>
      <c r="H197" s="95"/>
      <c r="I197" s="95"/>
      <c r="J197" s="47"/>
      <c r="K197" s="54"/>
      <c r="L197" s="11"/>
      <c r="M197" s="11"/>
      <c r="N197" s="11"/>
      <c r="O197" s="11"/>
      <c r="P197" s="11"/>
      <c r="Q197" s="11"/>
      <c r="R197" s="11"/>
      <c r="S197" s="11"/>
      <c r="T197" s="11"/>
    </row>
    <row r="198" spans="1:22" s="53" customFormat="1">
      <c r="A198" s="96" t="s">
        <v>408</v>
      </c>
      <c r="B198" s="96"/>
      <c r="C198" s="97" t="s">
        <v>307</v>
      </c>
      <c r="D198" s="92" t="s">
        <v>28</v>
      </c>
      <c r="E198" s="95">
        <v>4</v>
      </c>
      <c r="F198" s="95"/>
      <c r="G198" s="95"/>
      <c r="H198" s="95"/>
      <c r="I198" s="95"/>
      <c r="J198" s="47"/>
      <c r="K198" s="54"/>
      <c r="L198" s="11"/>
      <c r="M198" s="11"/>
      <c r="N198" s="11"/>
      <c r="O198" s="11"/>
      <c r="P198" s="11"/>
      <c r="Q198" s="11"/>
      <c r="R198" s="11"/>
      <c r="S198" s="11"/>
      <c r="T198" s="11"/>
    </row>
    <row r="199" spans="1:22" s="53" customFormat="1">
      <c r="A199" s="96" t="s">
        <v>409</v>
      </c>
      <c r="B199" s="96"/>
      <c r="C199" s="97" t="s">
        <v>308</v>
      </c>
      <c r="D199" s="92" t="s">
        <v>27</v>
      </c>
      <c r="E199" s="95">
        <v>1</v>
      </c>
      <c r="F199" s="95"/>
      <c r="G199" s="95"/>
      <c r="H199" s="95"/>
      <c r="I199" s="95"/>
      <c r="J199" s="47"/>
      <c r="K199" s="54"/>
      <c r="L199" s="11"/>
      <c r="M199" s="11"/>
      <c r="N199" s="11"/>
      <c r="O199" s="11"/>
      <c r="P199" s="11"/>
      <c r="Q199" s="11"/>
      <c r="R199" s="11"/>
      <c r="S199" s="11"/>
      <c r="T199" s="11"/>
    </row>
    <row r="200" spans="1:22" s="53" customFormat="1">
      <c r="A200" s="96" t="s">
        <v>410</v>
      </c>
      <c r="B200" s="96"/>
      <c r="C200" s="97" t="s">
        <v>309</v>
      </c>
      <c r="D200" s="92" t="s">
        <v>27</v>
      </c>
      <c r="E200" s="95">
        <v>1</v>
      </c>
      <c r="F200" s="95"/>
      <c r="G200" s="95"/>
      <c r="H200" s="95"/>
      <c r="I200" s="95"/>
      <c r="J200" s="47"/>
      <c r="K200" s="54"/>
      <c r="L200" s="11"/>
      <c r="M200" s="11"/>
      <c r="N200" s="11"/>
      <c r="O200" s="11"/>
      <c r="P200" s="11"/>
      <c r="Q200" s="11"/>
      <c r="R200" s="11"/>
      <c r="S200" s="11"/>
      <c r="T200" s="11"/>
    </row>
    <row r="201" spans="1:22" s="53" customFormat="1">
      <c r="A201" s="96" t="s">
        <v>411</v>
      </c>
      <c r="B201" s="182" t="s">
        <v>252</v>
      </c>
      <c r="C201" s="97" t="s">
        <v>513</v>
      </c>
      <c r="D201" s="92" t="s">
        <v>27</v>
      </c>
      <c r="E201" s="95">
        <v>3</v>
      </c>
      <c r="F201" s="95"/>
      <c r="G201" s="95"/>
      <c r="H201" s="95"/>
      <c r="I201" s="95"/>
      <c r="J201" s="47"/>
      <c r="K201" s="54"/>
      <c r="L201" s="11"/>
      <c r="M201" s="11"/>
      <c r="N201" s="11"/>
      <c r="O201" s="11"/>
      <c r="P201" s="11"/>
      <c r="Q201" s="11"/>
      <c r="R201" s="11"/>
      <c r="S201" s="11"/>
      <c r="T201" s="11"/>
    </row>
    <row r="202" spans="1:22" s="53" customFormat="1" ht="15.75" customHeight="1">
      <c r="A202" s="96" t="s">
        <v>474</v>
      </c>
      <c r="B202" s="96"/>
      <c r="C202" s="441" t="s">
        <v>310</v>
      </c>
      <c r="D202" s="92" t="s">
        <v>27</v>
      </c>
      <c r="E202" s="47">
        <v>8</v>
      </c>
      <c r="F202" s="47"/>
      <c r="G202" s="95"/>
      <c r="H202" s="95"/>
      <c r="I202" s="95"/>
      <c r="J202" s="47"/>
      <c r="K202" s="54"/>
      <c r="L202" s="11"/>
      <c r="M202" s="11"/>
      <c r="N202" s="11"/>
      <c r="O202" s="11"/>
      <c r="P202" s="11"/>
      <c r="Q202" s="11"/>
      <c r="R202" s="11"/>
      <c r="S202" s="11"/>
      <c r="T202" s="11"/>
    </row>
    <row r="203" spans="1:22">
      <c r="A203" s="479" t="s">
        <v>141</v>
      </c>
      <c r="B203" s="480"/>
      <c r="C203" s="480"/>
      <c r="D203" s="480"/>
      <c r="E203" s="480"/>
      <c r="F203" s="480"/>
      <c r="G203" s="480"/>
      <c r="H203" s="480"/>
      <c r="I203" s="481"/>
      <c r="J203" s="23"/>
      <c r="K203" s="39"/>
    </row>
    <row r="204" spans="1:22">
      <c r="A204" s="60" t="s">
        <v>142</v>
      </c>
      <c r="B204" s="458" t="s">
        <v>7</v>
      </c>
      <c r="C204" s="459"/>
      <c r="D204" s="459"/>
      <c r="E204" s="459"/>
      <c r="F204" s="459"/>
      <c r="G204" s="459"/>
      <c r="H204" s="459"/>
      <c r="I204" s="459"/>
      <c r="J204" s="459"/>
      <c r="K204" s="473"/>
      <c r="L204" s="11"/>
      <c r="M204" s="11"/>
      <c r="N204" s="11"/>
      <c r="O204" s="11"/>
      <c r="P204" s="11"/>
      <c r="Q204" s="11"/>
      <c r="R204" s="11"/>
      <c r="S204" s="11"/>
      <c r="T204" s="11"/>
    </row>
    <row r="205" spans="1:22" s="53" customFormat="1" ht="24.75">
      <c r="A205" s="48" t="s">
        <v>143</v>
      </c>
      <c r="B205" s="197">
        <v>5974</v>
      </c>
      <c r="C205" s="58" t="s">
        <v>209</v>
      </c>
      <c r="D205" s="50" t="s">
        <v>29</v>
      </c>
      <c r="E205" s="47">
        <f>(E56+E57+E58)*2</f>
        <v>1994.3109999999997</v>
      </c>
      <c r="F205" s="47"/>
      <c r="G205" s="47"/>
      <c r="H205" s="47"/>
      <c r="I205" s="47"/>
      <c r="J205" s="47"/>
      <c r="K205" s="47"/>
      <c r="L205" s="11"/>
      <c r="M205" s="11"/>
      <c r="N205" s="11"/>
      <c r="O205" s="11"/>
      <c r="P205" s="11"/>
      <c r="Q205" s="11"/>
      <c r="R205" s="11"/>
      <c r="S205" s="11"/>
      <c r="T205" s="11"/>
    </row>
    <row r="206" spans="1:22" s="53" customFormat="1" ht="24.75">
      <c r="A206" s="48" t="s">
        <v>144</v>
      </c>
      <c r="B206" s="197">
        <v>5975</v>
      </c>
      <c r="C206" s="58" t="s">
        <v>210</v>
      </c>
      <c r="D206" s="50" t="s">
        <v>29</v>
      </c>
      <c r="E206" s="47">
        <f>E13</f>
        <v>607.61</v>
      </c>
      <c r="F206" s="47"/>
      <c r="G206" s="47"/>
      <c r="H206" s="47"/>
      <c r="I206" s="47"/>
      <c r="J206" s="47"/>
      <c r="K206" s="47"/>
      <c r="L206" s="11"/>
      <c r="M206" s="11"/>
      <c r="N206" s="11"/>
      <c r="O206" s="11"/>
      <c r="P206" s="11"/>
      <c r="Q206" s="11"/>
      <c r="R206" s="11"/>
      <c r="S206" s="11"/>
      <c r="T206" s="11"/>
    </row>
    <row r="207" spans="1:22" s="53" customFormat="1" ht="24.75">
      <c r="A207" s="48" t="s">
        <v>145</v>
      </c>
      <c r="B207" s="197">
        <v>5982</v>
      </c>
      <c r="C207" s="58" t="s">
        <v>211</v>
      </c>
      <c r="D207" s="50" t="s">
        <v>29</v>
      </c>
      <c r="E207" s="47">
        <f>E206</f>
        <v>607.61</v>
      </c>
      <c r="F207" s="47"/>
      <c r="G207" s="47"/>
      <c r="H207" s="47"/>
      <c r="I207" s="47"/>
      <c r="J207" s="47"/>
      <c r="K207" s="47"/>
      <c r="L207" s="11"/>
      <c r="M207" s="11"/>
      <c r="N207" s="11"/>
      <c r="O207" s="11"/>
      <c r="P207" s="11"/>
      <c r="Q207" s="11"/>
      <c r="R207" s="11"/>
      <c r="S207" s="11"/>
      <c r="T207" s="11"/>
    </row>
    <row r="208" spans="1:22" s="53" customFormat="1" ht="24.75">
      <c r="A208" s="48" t="s">
        <v>146</v>
      </c>
      <c r="B208" s="197">
        <v>5992</v>
      </c>
      <c r="C208" s="58" t="s">
        <v>212</v>
      </c>
      <c r="D208" s="50" t="s">
        <v>29</v>
      </c>
      <c r="E208" s="47">
        <f>E205</f>
        <v>1994.3109999999997</v>
      </c>
      <c r="F208" s="47"/>
      <c r="G208" s="47"/>
      <c r="H208" s="47"/>
      <c r="I208" s="47"/>
      <c r="J208" s="47"/>
      <c r="K208" s="47"/>
      <c r="L208" s="11"/>
      <c r="M208" s="11"/>
      <c r="N208" s="11"/>
      <c r="O208" s="11"/>
      <c r="P208" s="11"/>
      <c r="Q208" s="11"/>
      <c r="R208" s="11"/>
      <c r="S208" s="11"/>
      <c r="T208" s="11"/>
    </row>
    <row r="209" spans="1:21" s="53" customFormat="1" ht="24.75">
      <c r="A209" s="48" t="s">
        <v>147</v>
      </c>
      <c r="B209" s="197" t="s">
        <v>213</v>
      </c>
      <c r="C209" s="58" t="s">
        <v>214</v>
      </c>
      <c r="D209" s="50" t="s">
        <v>29</v>
      </c>
      <c r="E209" s="47">
        <f>(2.85*((8*9)+9.1+11.3+12.15+(6.4*2)))*1.1</f>
        <v>367.89225000000005</v>
      </c>
      <c r="F209" s="47"/>
      <c r="G209" s="47"/>
      <c r="H209" s="47"/>
      <c r="I209" s="47"/>
      <c r="J209" s="47"/>
      <c r="K209" s="47"/>
      <c r="L209" s="11"/>
      <c r="M209" s="11"/>
      <c r="N209" s="11"/>
      <c r="O209" s="11"/>
      <c r="P209" s="11"/>
      <c r="Q209" s="11"/>
      <c r="R209" s="11"/>
      <c r="S209" s="11"/>
      <c r="T209" s="11"/>
    </row>
    <row r="210" spans="1:21" s="53" customFormat="1" ht="15" customHeight="1">
      <c r="A210" s="48" t="s">
        <v>148</v>
      </c>
      <c r="B210" s="180">
        <v>9536</v>
      </c>
      <c r="C210" s="167" t="s">
        <v>507</v>
      </c>
      <c r="D210" s="165" t="s">
        <v>29</v>
      </c>
      <c r="E210" s="117">
        <f>34.24+28.62+2.78+2.6</f>
        <v>68.239999999999995</v>
      </c>
      <c r="F210" s="117"/>
      <c r="G210" s="117"/>
      <c r="H210" s="117"/>
      <c r="I210" s="117"/>
      <c r="J210" s="117"/>
      <c r="K210" s="47"/>
      <c r="L210" s="11"/>
      <c r="M210" s="11"/>
      <c r="N210" s="11"/>
      <c r="O210" s="11"/>
      <c r="P210" s="11"/>
      <c r="Q210" s="11"/>
      <c r="R210" s="11"/>
      <c r="S210" s="11"/>
      <c r="T210" s="11"/>
    </row>
    <row r="211" spans="1:21" s="53" customFormat="1" ht="15" customHeight="1">
      <c r="A211" s="48" t="s">
        <v>149</v>
      </c>
      <c r="B211" s="197" t="s">
        <v>840</v>
      </c>
      <c r="C211" s="58" t="s">
        <v>841</v>
      </c>
      <c r="D211" s="50" t="s">
        <v>29</v>
      </c>
      <c r="E211" s="220">
        <v>575.80999999999995</v>
      </c>
      <c r="F211" s="117"/>
      <c r="G211" s="117"/>
      <c r="H211" s="117"/>
      <c r="I211" s="117"/>
      <c r="J211" s="117"/>
      <c r="K211" s="47"/>
      <c r="L211" s="11"/>
      <c r="M211" s="11"/>
      <c r="N211" s="11"/>
      <c r="O211" s="11"/>
      <c r="P211" s="11"/>
      <c r="Q211" s="11"/>
      <c r="R211" s="11"/>
      <c r="S211" s="11"/>
      <c r="T211" s="11"/>
    </row>
    <row r="212" spans="1:21" s="53" customFormat="1" ht="24" customHeight="1">
      <c r="A212" s="48" t="s">
        <v>150</v>
      </c>
      <c r="B212" s="197" t="s">
        <v>215</v>
      </c>
      <c r="C212" s="237" t="s">
        <v>216</v>
      </c>
      <c r="D212" s="50" t="s">
        <v>29</v>
      </c>
      <c r="E212" s="47">
        <f>(((16.68+3.75)*7)+20.6+4.85+((19.26+3.75)*2)+4.75+3.75+7.46+17.58+(2.55*2))*1.1</f>
        <v>278.43200000000002</v>
      </c>
      <c r="F212" s="47"/>
      <c r="G212" s="47"/>
      <c r="H212" s="47"/>
      <c r="I212" s="47"/>
      <c r="J212" s="47"/>
      <c r="K212" s="47"/>
      <c r="L212" s="11"/>
      <c r="M212" s="11"/>
      <c r="N212" s="11"/>
      <c r="O212" s="11"/>
      <c r="P212" s="11"/>
      <c r="Q212" s="11"/>
      <c r="R212" s="11"/>
      <c r="S212" s="11"/>
      <c r="T212" s="11"/>
    </row>
    <row r="213" spans="1:21" s="53" customFormat="1" ht="24.75">
      <c r="A213" s="48" t="s">
        <v>382</v>
      </c>
      <c r="B213" s="180" t="s">
        <v>502</v>
      </c>
      <c r="C213" s="235" t="s">
        <v>503</v>
      </c>
      <c r="D213" s="165" t="s">
        <v>29</v>
      </c>
      <c r="E213" s="117">
        <f>(51.05+3.78+10.17+30.71+33.5+14.65+26.79+84.8)*1.1</f>
        <v>280.995</v>
      </c>
      <c r="F213" s="117"/>
      <c r="G213" s="117"/>
      <c r="H213" s="117"/>
      <c r="I213" s="117"/>
      <c r="J213" s="117"/>
      <c r="K213" s="47"/>
      <c r="L213" s="11"/>
      <c r="M213" s="11"/>
      <c r="N213" s="11"/>
      <c r="O213" s="11"/>
      <c r="P213" s="11"/>
      <c r="Q213" s="11"/>
      <c r="R213" s="11"/>
      <c r="S213" s="11"/>
      <c r="T213" s="11"/>
    </row>
    <row r="214" spans="1:21" s="53" customFormat="1" ht="24">
      <c r="A214" s="48" t="s">
        <v>383</v>
      </c>
      <c r="B214" s="197" t="s">
        <v>528</v>
      </c>
      <c r="C214" s="240" t="s">
        <v>530</v>
      </c>
      <c r="D214" s="50" t="s">
        <v>29</v>
      </c>
      <c r="E214" s="47">
        <f>23.48*1.1</f>
        <v>25.828000000000003</v>
      </c>
      <c r="F214" s="47"/>
      <c r="G214" s="47"/>
      <c r="H214" s="47"/>
      <c r="I214" s="47"/>
      <c r="J214" s="47"/>
      <c r="K214" s="47"/>
      <c r="L214" s="11"/>
      <c r="M214" s="11"/>
      <c r="N214" s="11"/>
      <c r="O214" s="11"/>
      <c r="P214" s="11"/>
      <c r="Q214" s="11"/>
      <c r="R214" s="11"/>
      <c r="S214" s="11"/>
      <c r="T214" s="11"/>
    </row>
    <row r="215" spans="1:21" s="53" customFormat="1">
      <c r="A215" s="48" t="s">
        <v>388</v>
      </c>
      <c r="B215" s="197">
        <v>72948</v>
      </c>
      <c r="C215" s="238" t="s">
        <v>529</v>
      </c>
      <c r="D215" s="50" t="s">
        <v>47</v>
      </c>
      <c r="E215" s="47">
        <f>(E214/1.1)*0.6</f>
        <v>14.087999999999999</v>
      </c>
      <c r="F215" s="47"/>
      <c r="G215" s="47"/>
      <c r="H215" s="47"/>
      <c r="I215" s="47"/>
      <c r="J215" s="47"/>
      <c r="K215" s="47"/>
      <c r="L215" s="11"/>
      <c r="M215" s="11"/>
      <c r="N215" s="11"/>
      <c r="O215" s="11"/>
      <c r="P215" s="11"/>
      <c r="Q215" s="11"/>
      <c r="R215" s="11"/>
      <c r="S215" s="11"/>
      <c r="T215" s="11"/>
    </row>
    <row r="216" spans="1:21" s="53" customFormat="1">
      <c r="A216" s="48" t="s">
        <v>475</v>
      </c>
      <c r="B216" s="197" t="s">
        <v>217</v>
      </c>
      <c r="C216" s="442" t="s">
        <v>218</v>
      </c>
      <c r="D216" s="50" t="s">
        <v>28</v>
      </c>
      <c r="E216" s="47">
        <f>((0.5*12)+(0.5*2)+1.5+(1.6*10)+1.5)*1.1</f>
        <v>28.6</v>
      </c>
      <c r="F216" s="47"/>
      <c r="G216" s="47"/>
      <c r="H216" s="47"/>
      <c r="I216" s="47"/>
      <c r="J216" s="47"/>
      <c r="K216" s="47"/>
      <c r="L216" s="11"/>
      <c r="M216" s="11"/>
      <c r="N216" s="11"/>
      <c r="O216" s="11"/>
      <c r="P216" s="11"/>
      <c r="Q216" s="11"/>
      <c r="R216" s="11"/>
      <c r="S216" s="11"/>
      <c r="T216" s="11"/>
    </row>
    <row r="217" spans="1:21" s="53" customFormat="1">
      <c r="A217" s="48" t="s">
        <v>504</v>
      </c>
      <c r="B217" s="197" t="s">
        <v>219</v>
      </c>
      <c r="C217" s="236" t="s">
        <v>220</v>
      </c>
      <c r="D217" s="50" t="s">
        <v>28</v>
      </c>
      <c r="E217" s="47">
        <f>((0.8*16)+(E63/2.7)+1.6+(0.7*9)+3.2+0.8+(3.2*3)+4.75)*1.1</f>
        <v>58.128888888888895</v>
      </c>
      <c r="F217" s="47"/>
      <c r="G217" s="47"/>
      <c r="H217" s="47"/>
      <c r="I217" s="47"/>
      <c r="J217" s="47"/>
      <c r="K217" s="47"/>
      <c r="L217" s="11"/>
      <c r="M217" s="11"/>
      <c r="N217" s="11"/>
      <c r="O217" s="11"/>
      <c r="P217" s="11"/>
      <c r="Q217" s="11"/>
      <c r="R217" s="11"/>
      <c r="S217" s="11"/>
      <c r="T217" s="11"/>
    </row>
    <row r="218" spans="1:21" s="53" customFormat="1" ht="24">
      <c r="A218" s="48" t="s">
        <v>505</v>
      </c>
      <c r="B218" s="180" t="s">
        <v>518</v>
      </c>
      <c r="C218" s="238" t="s">
        <v>519</v>
      </c>
      <c r="D218" s="165" t="s">
        <v>28</v>
      </c>
      <c r="E218" s="117">
        <f>3.3+3.3+(9*0.8)</f>
        <v>13.8</v>
      </c>
      <c r="G218" s="117"/>
      <c r="H218" s="117"/>
      <c r="I218" s="117"/>
      <c r="J218" s="117"/>
      <c r="K218" s="47"/>
      <c r="L218" s="11"/>
      <c r="M218" s="11"/>
      <c r="N218" s="11"/>
      <c r="O218" s="11"/>
      <c r="P218" s="11"/>
      <c r="Q218" s="11"/>
      <c r="R218" s="11"/>
      <c r="S218" s="11"/>
      <c r="T218" s="11"/>
    </row>
    <row r="219" spans="1:21" s="53" customFormat="1" ht="24" customHeight="1">
      <c r="A219" s="48" t="s">
        <v>506</v>
      </c>
      <c r="B219" s="197" t="s">
        <v>221</v>
      </c>
      <c r="C219" s="239" t="s">
        <v>222</v>
      </c>
      <c r="D219" s="50" t="s">
        <v>28</v>
      </c>
      <c r="E219" s="47">
        <f>((18.7*7)+21.2+8.3+8.3+(19.7*2)+8.8+8+19.1+7.3+106.1)*1.1</f>
        <v>393.14000000000004</v>
      </c>
      <c r="F219" s="47"/>
      <c r="G219" s="47"/>
      <c r="H219" s="47"/>
      <c r="I219" s="47"/>
      <c r="J219" s="47"/>
      <c r="K219" s="47"/>
      <c r="L219" s="11"/>
      <c r="M219" s="11"/>
      <c r="N219" s="11"/>
      <c r="O219" s="11"/>
      <c r="P219" s="11"/>
      <c r="Q219" s="11"/>
      <c r="R219" s="11"/>
      <c r="S219" s="11"/>
      <c r="T219" s="11"/>
    </row>
    <row r="220" spans="1:21">
      <c r="A220" s="479" t="s">
        <v>151</v>
      </c>
      <c r="B220" s="480"/>
      <c r="C220" s="480"/>
      <c r="D220" s="480"/>
      <c r="E220" s="480"/>
      <c r="F220" s="480"/>
      <c r="G220" s="480"/>
      <c r="H220" s="480"/>
      <c r="I220" s="481"/>
      <c r="J220" s="22"/>
      <c r="K220" s="22"/>
      <c r="L220" s="77"/>
      <c r="M220" s="11"/>
      <c r="N220" s="11"/>
      <c r="O220" s="11"/>
      <c r="P220" s="11"/>
      <c r="Q220" s="11"/>
      <c r="R220" s="11"/>
      <c r="S220" s="11"/>
      <c r="T220" s="11"/>
    </row>
    <row r="221" spans="1:21" s="74" customFormat="1">
      <c r="A221" s="70" t="s">
        <v>132</v>
      </c>
      <c r="B221" s="448" t="s">
        <v>133</v>
      </c>
      <c r="C221" s="449"/>
      <c r="D221" s="449"/>
      <c r="E221" s="449"/>
      <c r="F221" s="449"/>
      <c r="G221" s="449"/>
      <c r="H221" s="449"/>
      <c r="I221" s="449"/>
      <c r="J221" s="449"/>
      <c r="K221" s="449"/>
      <c r="L221" s="78"/>
      <c r="M221" s="73"/>
      <c r="N221" s="73"/>
      <c r="O221" s="73"/>
      <c r="P221" s="73"/>
      <c r="Q221" s="73"/>
      <c r="R221" s="73"/>
      <c r="S221" s="73"/>
      <c r="T221" s="73"/>
      <c r="U221" s="73"/>
    </row>
    <row r="222" spans="1:21" s="81" customFormat="1">
      <c r="A222" s="80" t="s">
        <v>134</v>
      </c>
      <c r="B222" s="211">
        <v>72123</v>
      </c>
      <c r="C222" s="428" t="s">
        <v>223</v>
      </c>
      <c r="D222" s="92" t="s">
        <v>29</v>
      </c>
      <c r="E222" s="47">
        <f>5.25*4</f>
        <v>21</v>
      </c>
      <c r="F222" s="47"/>
      <c r="G222" s="47"/>
      <c r="H222" s="47"/>
      <c r="I222" s="47"/>
      <c r="J222" s="47"/>
      <c r="K222" s="47"/>
      <c r="L222" s="78"/>
      <c r="M222" s="73"/>
      <c r="N222" s="73"/>
      <c r="O222" s="73"/>
      <c r="P222" s="73"/>
      <c r="Q222" s="73"/>
      <c r="R222" s="73"/>
      <c r="S222" s="73"/>
      <c r="T222" s="73"/>
      <c r="U222" s="73"/>
    </row>
    <row r="223" spans="1:21" s="81" customFormat="1">
      <c r="A223" s="80" t="s">
        <v>135</v>
      </c>
      <c r="B223" s="211">
        <v>72120</v>
      </c>
      <c r="C223" s="428" t="s">
        <v>224</v>
      </c>
      <c r="D223" s="92" t="s">
        <v>29</v>
      </c>
      <c r="E223" s="47">
        <f>(3.2+2.5)*2.85</f>
        <v>16.245000000000001</v>
      </c>
      <c r="F223" s="47"/>
      <c r="G223" s="47"/>
      <c r="H223" s="47"/>
      <c r="I223" s="47"/>
      <c r="J223" s="47"/>
      <c r="K223" s="47"/>
      <c r="L223" s="78"/>
      <c r="M223" s="73"/>
      <c r="N223" s="73"/>
      <c r="O223" s="73"/>
      <c r="P223" s="73"/>
      <c r="Q223" s="73"/>
      <c r="R223" s="73"/>
      <c r="S223" s="73"/>
      <c r="T223" s="73"/>
      <c r="U223" s="73"/>
    </row>
    <row r="224" spans="1:21" s="81" customFormat="1">
      <c r="A224" s="80" t="s">
        <v>136</v>
      </c>
      <c r="B224" s="211">
        <v>72116</v>
      </c>
      <c r="C224" s="428" t="s">
        <v>254</v>
      </c>
      <c r="D224" s="92" t="s">
        <v>29</v>
      </c>
      <c r="E224" s="47">
        <f>3.2*2.5*1</f>
        <v>8</v>
      </c>
      <c r="F224" s="47"/>
      <c r="G224" s="47"/>
      <c r="H224" s="47"/>
      <c r="I224" s="47"/>
      <c r="J224" s="47"/>
      <c r="K224" s="47"/>
      <c r="L224" s="78"/>
      <c r="M224" s="73"/>
      <c r="N224" s="73"/>
      <c r="O224" s="73"/>
      <c r="P224" s="73"/>
      <c r="Q224" s="73"/>
      <c r="R224" s="73"/>
      <c r="S224" s="73"/>
      <c r="T224" s="73"/>
      <c r="U224" s="73"/>
    </row>
    <row r="225" spans="1:22" s="81" customFormat="1">
      <c r="A225" s="80" t="s">
        <v>226</v>
      </c>
      <c r="B225" s="211">
        <v>72116</v>
      </c>
      <c r="C225" s="428" t="s">
        <v>255</v>
      </c>
      <c r="D225" s="92" t="s">
        <v>29</v>
      </c>
      <c r="E225" s="47">
        <f>3.2*2.5*3</f>
        <v>24</v>
      </c>
      <c r="F225" s="47"/>
      <c r="G225" s="47"/>
      <c r="H225" s="47"/>
      <c r="I225" s="47"/>
      <c r="J225" s="47"/>
      <c r="K225" s="47"/>
      <c r="L225" s="78"/>
      <c r="M225" s="73"/>
      <c r="N225" s="73"/>
      <c r="O225" s="73"/>
      <c r="P225" s="73"/>
      <c r="Q225" s="73"/>
      <c r="R225" s="73"/>
      <c r="S225" s="73"/>
      <c r="T225" s="73"/>
      <c r="U225" s="73"/>
    </row>
    <row r="226" spans="1:22" s="81" customFormat="1">
      <c r="A226" s="80" t="s">
        <v>228</v>
      </c>
      <c r="B226" s="211">
        <v>72122</v>
      </c>
      <c r="C226" s="428" t="s">
        <v>688</v>
      </c>
      <c r="D226" s="92" t="s">
        <v>29</v>
      </c>
      <c r="E226" s="47">
        <f>0.5*0.6*12</f>
        <v>3.5999999999999996</v>
      </c>
      <c r="F226" s="47"/>
      <c r="G226" s="47"/>
      <c r="H226" s="47"/>
      <c r="I226" s="47"/>
      <c r="J226" s="47"/>
      <c r="K226" s="47"/>
      <c r="L226" s="78"/>
      <c r="M226" s="73"/>
      <c r="N226" s="73"/>
      <c r="O226" s="73"/>
      <c r="P226" s="73"/>
      <c r="Q226" s="73"/>
      <c r="R226" s="73"/>
      <c r="S226" s="73"/>
      <c r="T226" s="73"/>
      <c r="U226" s="73"/>
    </row>
    <row r="227" spans="1:22" s="81" customFormat="1">
      <c r="A227" s="80" t="s">
        <v>230</v>
      </c>
      <c r="B227" s="211">
        <v>72116</v>
      </c>
      <c r="C227" s="428" t="s">
        <v>256</v>
      </c>
      <c r="D227" s="92" t="s">
        <v>29</v>
      </c>
      <c r="E227" s="47">
        <f>0.5*1.6*2</f>
        <v>1.6</v>
      </c>
      <c r="F227" s="47"/>
      <c r="G227" s="47"/>
      <c r="H227" s="47"/>
      <c r="I227" s="47"/>
      <c r="J227" s="47"/>
      <c r="K227" s="47"/>
      <c r="L227" s="78"/>
      <c r="M227" s="73"/>
      <c r="N227" s="73"/>
      <c r="O227" s="73"/>
      <c r="P227" s="73"/>
      <c r="Q227" s="73"/>
      <c r="R227" s="73"/>
      <c r="S227" s="73"/>
      <c r="T227" s="73"/>
      <c r="U227" s="73"/>
    </row>
    <row r="228" spans="1:22" s="81" customFormat="1">
      <c r="A228" s="80" t="s">
        <v>232</v>
      </c>
      <c r="B228" s="211">
        <v>72117</v>
      </c>
      <c r="C228" s="428" t="s">
        <v>257</v>
      </c>
      <c r="D228" s="92" t="s">
        <v>29</v>
      </c>
      <c r="E228" s="47">
        <f>1.5*1.3*1</f>
        <v>1.9500000000000002</v>
      </c>
      <c r="F228" s="47"/>
      <c r="G228" s="47"/>
      <c r="H228" s="47"/>
      <c r="I228" s="47"/>
      <c r="J228" s="47"/>
      <c r="K228" s="47"/>
      <c r="L228" s="78"/>
      <c r="M228" s="73"/>
      <c r="N228" s="73"/>
      <c r="O228" s="73"/>
      <c r="P228" s="73"/>
      <c r="Q228" s="73"/>
      <c r="R228" s="73"/>
      <c r="S228" s="73"/>
      <c r="T228" s="73"/>
      <c r="U228" s="73"/>
    </row>
    <row r="229" spans="1:22" s="81" customFormat="1">
      <c r="A229" s="80" t="s">
        <v>258</v>
      </c>
      <c r="B229" s="211">
        <v>72118</v>
      </c>
      <c r="C229" s="428" t="s">
        <v>259</v>
      </c>
      <c r="D229" s="92" t="s">
        <v>29</v>
      </c>
      <c r="E229" s="47">
        <f>1.6*1.3*10</f>
        <v>20.8</v>
      </c>
      <c r="F229" s="47"/>
      <c r="G229" s="47"/>
      <c r="H229" s="47"/>
      <c r="I229" s="47"/>
      <c r="J229" s="47"/>
      <c r="K229" s="47"/>
      <c r="L229" s="78"/>
      <c r="M229" s="73"/>
      <c r="N229" s="73"/>
      <c r="O229" s="73"/>
      <c r="P229" s="73"/>
      <c r="Q229" s="73"/>
      <c r="R229" s="73"/>
      <c r="S229" s="73"/>
      <c r="T229" s="73"/>
      <c r="U229" s="73"/>
    </row>
    <row r="230" spans="1:22" s="81" customFormat="1">
      <c r="A230" s="80" t="s">
        <v>260</v>
      </c>
      <c r="B230" s="211">
        <v>72116</v>
      </c>
      <c r="C230" s="428" t="s">
        <v>261</v>
      </c>
      <c r="D230" s="92" t="s">
        <v>29</v>
      </c>
      <c r="E230" s="47">
        <f>1.5*0.9*1</f>
        <v>1.35</v>
      </c>
      <c r="F230" s="47"/>
      <c r="G230" s="47"/>
      <c r="H230" s="47"/>
      <c r="I230" s="47"/>
      <c r="J230" s="47"/>
      <c r="K230" s="47"/>
      <c r="L230" s="78"/>
      <c r="M230" s="73"/>
      <c r="N230" s="73"/>
      <c r="O230" s="73"/>
      <c r="P230" s="73"/>
      <c r="Q230" s="73"/>
      <c r="R230" s="73"/>
      <c r="S230" s="73"/>
      <c r="T230" s="73"/>
      <c r="U230" s="73"/>
    </row>
    <row r="231" spans="1:22" s="74" customFormat="1">
      <c r="A231" s="450" t="s">
        <v>137</v>
      </c>
      <c r="B231" s="451"/>
      <c r="C231" s="451"/>
      <c r="D231" s="451"/>
      <c r="E231" s="451"/>
      <c r="F231" s="451"/>
      <c r="G231" s="451"/>
      <c r="H231" s="451"/>
      <c r="I231" s="452"/>
      <c r="J231" s="22"/>
      <c r="K231" s="22"/>
      <c r="L231" s="79"/>
      <c r="M231" s="73"/>
      <c r="N231" s="73"/>
      <c r="O231" s="73"/>
      <c r="P231" s="73"/>
      <c r="Q231" s="73"/>
      <c r="R231" s="73"/>
      <c r="S231" s="73"/>
      <c r="T231" s="73"/>
      <c r="U231" s="73"/>
    </row>
    <row r="232" spans="1:22" s="53" customFormat="1">
      <c r="A232" s="60" t="s">
        <v>152</v>
      </c>
      <c r="B232" s="453" t="s">
        <v>67</v>
      </c>
      <c r="C232" s="454"/>
      <c r="D232" s="454"/>
      <c r="E232" s="454"/>
      <c r="F232" s="454"/>
      <c r="G232" s="454"/>
      <c r="H232" s="454"/>
      <c r="I232" s="454"/>
      <c r="J232" s="454"/>
      <c r="K232" s="455"/>
      <c r="L232" s="77"/>
      <c r="M232" s="11"/>
      <c r="N232" s="11"/>
      <c r="O232" s="11"/>
      <c r="P232" s="11"/>
      <c r="Q232" s="11"/>
      <c r="R232" s="11"/>
      <c r="S232" s="11"/>
      <c r="T232" s="11"/>
    </row>
    <row r="233" spans="1:22" s="53" customFormat="1">
      <c r="A233" s="48" t="s">
        <v>153</v>
      </c>
      <c r="B233" s="195" t="s">
        <v>234</v>
      </c>
      <c r="C233" s="181" t="s">
        <v>235</v>
      </c>
      <c r="D233" s="50" t="s">
        <v>29</v>
      </c>
      <c r="E233" s="47">
        <f>E205+E206-(E209/1.1)</f>
        <v>2267.4735000000001</v>
      </c>
      <c r="F233" s="47"/>
      <c r="G233" s="47"/>
      <c r="H233" s="47"/>
      <c r="I233" s="47"/>
      <c r="J233" s="47"/>
      <c r="K233" s="47"/>
      <c r="L233" s="11"/>
      <c r="M233" s="11"/>
      <c r="N233" s="11"/>
      <c r="O233" s="11"/>
      <c r="P233" s="11"/>
      <c r="Q233" s="11"/>
      <c r="R233" s="11"/>
      <c r="S233" s="11"/>
      <c r="T233" s="11"/>
    </row>
    <row r="234" spans="1:22" s="53" customFormat="1">
      <c r="A234" s="48" t="s">
        <v>154</v>
      </c>
      <c r="B234" s="195" t="s">
        <v>236</v>
      </c>
      <c r="C234" s="181" t="s">
        <v>237</v>
      </c>
      <c r="D234" s="50" t="s">
        <v>29</v>
      </c>
      <c r="E234" s="47">
        <f>E233</f>
        <v>2267.4735000000001</v>
      </c>
      <c r="F234" s="47"/>
      <c r="G234" s="47"/>
      <c r="H234" s="47"/>
      <c r="I234" s="47"/>
      <c r="J234" s="47"/>
      <c r="K234" s="47"/>
      <c r="L234" s="11"/>
      <c r="M234" s="11"/>
      <c r="N234" s="11"/>
      <c r="O234" s="11"/>
      <c r="P234" s="11"/>
      <c r="Q234" s="11"/>
      <c r="R234" s="11"/>
      <c r="S234" s="11"/>
      <c r="T234" s="11"/>
    </row>
    <row r="235" spans="1:22" s="53" customFormat="1">
      <c r="A235" s="48" t="s">
        <v>155</v>
      </c>
      <c r="B235" s="166" t="s">
        <v>509</v>
      </c>
      <c r="C235" s="181" t="s">
        <v>510</v>
      </c>
      <c r="D235" s="165" t="s">
        <v>29</v>
      </c>
      <c r="E235" s="117">
        <f>E210*1.15</f>
        <v>78.475999999999985</v>
      </c>
      <c r="F235" s="117"/>
      <c r="G235" s="117"/>
      <c r="H235" s="117"/>
      <c r="I235" s="117"/>
      <c r="J235" s="117"/>
      <c r="K235" s="47"/>
      <c r="L235" s="11"/>
      <c r="M235" s="11"/>
      <c r="N235" s="11"/>
      <c r="O235" s="11"/>
      <c r="P235" s="11"/>
      <c r="Q235" s="11"/>
      <c r="R235" s="11"/>
      <c r="S235" s="11"/>
      <c r="T235" s="11"/>
    </row>
    <row r="236" spans="1:22" s="53" customFormat="1">
      <c r="A236" s="48" t="s">
        <v>476</v>
      </c>
      <c r="B236" s="197">
        <v>6082</v>
      </c>
      <c r="C236" s="181" t="s">
        <v>238</v>
      </c>
      <c r="D236" s="50" t="s">
        <v>29</v>
      </c>
      <c r="E236" s="47">
        <f>(0.8*2.1*3*16)+(0.7*2.1*3*9)+(0.8*2.1*3*1)</f>
        <v>125.37000000000002</v>
      </c>
      <c r="F236" s="47"/>
      <c r="G236" s="47"/>
      <c r="H236" s="47"/>
      <c r="I236" s="47"/>
      <c r="J236" s="47"/>
      <c r="K236" s="47"/>
      <c r="L236" s="11"/>
      <c r="M236" s="11"/>
      <c r="N236" s="11"/>
      <c r="O236" s="11"/>
      <c r="P236" s="11"/>
      <c r="Q236" s="11"/>
      <c r="R236" s="11"/>
      <c r="S236" s="11"/>
      <c r="T236" s="11"/>
    </row>
    <row r="237" spans="1:22" s="53" customFormat="1">
      <c r="A237" s="479" t="s">
        <v>156</v>
      </c>
      <c r="B237" s="480"/>
      <c r="C237" s="480"/>
      <c r="D237" s="480"/>
      <c r="E237" s="480"/>
      <c r="F237" s="480"/>
      <c r="G237" s="480"/>
      <c r="H237" s="480"/>
      <c r="I237" s="481"/>
      <c r="J237" s="23"/>
      <c r="K237" s="23"/>
      <c r="L237" s="77"/>
      <c r="M237" s="11"/>
      <c r="N237" s="11"/>
      <c r="O237" s="11"/>
      <c r="P237" s="11"/>
      <c r="Q237" s="11"/>
      <c r="R237" s="11"/>
      <c r="S237" s="11"/>
      <c r="T237" s="11"/>
    </row>
    <row r="238" spans="1:22" s="74" customFormat="1">
      <c r="A238" s="70" t="s">
        <v>158</v>
      </c>
      <c r="B238" s="477" t="s">
        <v>120</v>
      </c>
      <c r="C238" s="478"/>
      <c r="D238" s="478"/>
      <c r="E238" s="478"/>
      <c r="F238" s="478"/>
      <c r="G238" s="478"/>
      <c r="H238" s="478"/>
      <c r="I238" s="478"/>
      <c r="J238" s="478"/>
      <c r="K238" s="558"/>
      <c r="L238" s="78"/>
      <c r="M238" s="73"/>
      <c r="N238" s="73"/>
      <c r="O238" s="73"/>
      <c r="P238" s="73"/>
      <c r="Q238" s="73"/>
      <c r="R238" s="73"/>
      <c r="S238" s="73"/>
      <c r="T238" s="73"/>
      <c r="U238" s="73"/>
      <c r="V238" s="73"/>
    </row>
    <row r="239" spans="1:22" s="74" customFormat="1" ht="24.75">
      <c r="A239" s="70" t="s">
        <v>157</v>
      </c>
      <c r="B239" s="241" t="s">
        <v>440</v>
      </c>
      <c r="C239" s="250" t="s">
        <v>531</v>
      </c>
      <c r="D239" s="123" t="s">
        <v>29</v>
      </c>
      <c r="E239" s="183">
        <f>124.33+11.88</f>
        <v>136.21</v>
      </c>
      <c r="F239" s="242"/>
      <c r="G239" s="117"/>
      <c r="H239" s="117"/>
      <c r="I239" s="117"/>
      <c r="J239" s="117"/>
      <c r="K239" s="117"/>
      <c r="L239" s="78"/>
      <c r="M239" s="73"/>
      <c r="N239" s="73"/>
      <c r="O239" s="73"/>
      <c r="P239" s="73"/>
      <c r="Q239" s="73"/>
      <c r="R239" s="73"/>
      <c r="S239" s="73"/>
      <c r="T239" s="73"/>
      <c r="U239" s="73"/>
      <c r="V239" s="73"/>
    </row>
    <row r="240" spans="1:22" s="74" customFormat="1">
      <c r="A240" s="462" t="s">
        <v>161</v>
      </c>
      <c r="B240" s="463"/>
      <c r="C240" s="463"/>
      <c r="D240" s="463"/>
      <c r="E240" s="463"/>
      <c r="F240" s="463"/>
      <c r="G240" s="463"/>
      <c r="H240" s="463"/>
      <c r="I240" s="464"/>
      <c r="J240" s="23"/>
      <c r="K240" s="23"/>
      <c r="L240" s="79"/>
      <c r="M240" s="73"/>
      <c r="N240" s="73"/>
      <c r="O240" s="73"/>
      <c r="P240" s="73"/>
      <c r="Q240" s="73"/>
      <c r="R240" s="73"/>
      <c r="S240" s="73"/>
      <c r="T240" s="73"/>
      <c r="U240" s="73"/>
      <c r="V240" s="73"/>
    </row>
    <row r="241" spans="1:12">
      <c r="A241" s="60" t="s">
        <v>119</v>
      </c>
      <c r="B241" s="458" t="s">
        <v>25</v>
      </c>
      <c r="C241" s="459"/>
      <c r="D241" s="459"/>
      <c r="E241" s="459"/>
      <c r="F241" s="459"/>
      <c r="G241" s="459"/>
      <c r="H241" s="459"/>
      <c r="I241" s="459"/>
      <c r="J241" s="459"/>
      <c r="K241" s="459"/>
      <c r="L241" s="83"/>
    </row>
    <row r="242" spans="1:12" s="53" customFormat="1">
      <c r="A242" s="48" t="s">
        <v>121</v>
      </c>
      <c r="B242" s="197">
        <v>9537</v>
      </c>
      <c r="C242" s="224" t="s">
        <v>239</v>
      </c>
      <c r="D242" s="50" t="s">
        <v>29</v>
      </c>
      <c r="E242" s="47">
        <f>E13</f>
        <v>607.61</v>
      </c>
      <c r="F242" s="47"/>
      <c r="G242" s="47"/>
      <c r="H242" s="47"/>
      <c r="I242" s="47"/>
      <c r="J242" s="47"/>
      <c r="K242" s="47"/>
    </row>
    <row r="243" spans="1:12">
      <c r="A243" s="479" t="s">
        <v>124</v>
      </c>
      <c r="B243" s="480"/>
      <c r="C243" s="480"/>
      <c r="D243" s="480"/>
      <c r="E243" s="480"/>
      <c r="F243" s="480"/>
      <c r="G243" s="480"/>
      <c r="H243" s="480"/>
      <c r="I243" s="481"/>
      <c r="J243" s="23"/>
      <c r="K243" s="39"/>
    </row>
    <row r="244" spans="1:12" s="26" customFormat="1">
      <c r="A244" s="20"/>
      <c r="B244" s="75"/>
      <c r="C244" s="460"/>
      <c r="D244" s="460"/>
      <c r="E244" s="460"/>
      <c r="F244" s="460"/>
      <c r="G244" s="460"/>
      <c r="H244" s="460"/>
      <c r="I244" s="460"/>
      <c r="J244" s="460"/>
      <c r="K244" s="461"/>
    </row>
    <row r="245" spans="1:12" s="69" customFormat="1" ht="15.75">
      <c r="A245" s="445" t="s">
        <v>14</v>
      </c>
      <c r="B245" s="446"/>
      <c r="C245" s="446"/>
      <c r="D245" s="446"/>
      <c r="E245" s="446"/>
      <c r="F245" s="446"/>
      <c r="G245" s="446"/>
      <c r="H245" s="446"/>
      <c r="I245" s="447"/>
      <c r="J245" s="68"/>
      <c r="K245" s="68"/>
    </row>
    <row r="247" spans="1:12">
      <c r="H247" s="43"/>
      <c r="I247" s="12"/>
    </row>
    <row r="248" spans="1:12">
      <c r="I248" s="31"/>
    </row>
    <row r="250" spans="1:12">
      <c r="A250" s="28"/>
      <c r="B250" s="28"/>
      <c r="C250" s="33"/>
      <c r="D250" s="29"/>
      <c r="E250" s="30"/>
      <c r="F250" s="28"/>
      <c r="G250" s="28"/>
      <c r="H250" s="28"/>
      <c r="I250" s="28"/>
      <c r="J250" s="28"/>
    </row>
    <row r="251" spans="1:12">
      <c r="A251" s="28"/>
      <c r="B251" s="28"/>
      <c r="C251" s="33"/>
      <c r="D251" s="29"/>
      <c r="E251" s="30"/>
      <c r="F251" s="28"/>
      <c r="G251" s="30"/>
      <c r="H251" s="28"/>
      <c r="I251" s="30"/>
      <c r="J251" s="30"/>
    </row>
    <row r="252" spans="1:12">
      <c r="A252" s="28"/>
      <c r="B252" s="28"/>
      <c r="C252" s="33"/>
      <c r="D252" s="29"/>
      <c r="E252" s="30"/>
      <c r="F252" s="28"/>
      <c r="G252" s="30"/>
      <c r="H252" s="28"/>
      <c r="I252" s="30"/>
      <c r="J252" s="30"/>
    </row>
    <row r="253" spans="1:12">
      <c r="A253" s="28"/>
      <c r="B253" s="28"/>
      <c r="C253" s="33"/>
      <c r="D253" s="29"/>
      <c r="E253" s="30"/>
      <c r="F253" s="28"/>
      <c r="G253" s="30"/>
      <c r="H253" s="28"/>
      <c r="I253" s="30"/>
      <c r="J253" s="30"/>
    </row>
    <row r="254" spans="1:12">
      <c r="A254" s="28"/>
      <c r="B254" s="28"/>
      <c r="C254" s="33"/>
      <c r="D254" s="29"/>
      <c r="E254" s="30"/>
      <c r="F254" s="28"/>
      <c r="G254" s="30"/>
      <c r="H254" s="28"/>
      <c r="I254" s="30"/>
      <c r="J254" s="30"/>
    </row>
    <row r="255" spans="1:12">
      <c r="A255" s="28"/>
      <c r="B255" s="28"/>
      <c r="C255" s="33"/>
      <c r="D255" s="29"/>
      <c r="E255" s="30"/>
      <c r="F255" s="28"/>
      <c r="G255" s="30"/>
      <c r="H255" s="28"/>
      <c r="I255" s="30"/>
      <c r="J255" s="30"/>
    </row>
    <row r="256" spans="1:12">
      <c r="A256" s="28"/>
      <c r="B256" s="28"/>
      <c r="C256" s="33"/>
      <c r="D256" s="29"/>
      <c r="E256" s="30"/>
      <c r="F256" s="28"/>
      <c r="G256" s="30"/>
      <c r="H256" s="28"/>
      <c r="I256" s="30"/>
      <c r="J256" s="30"/>
    </row>
    <row r="257" spans="1:11">
      <c r="A257" s="28"/>
      <c r="B257" s="28"/>
      <c r="C257" s="33"/>
      <c r="D257" s="29"/>
      <c r="E257" s="30"/>
      <c r="F257" s="28"/>
      <c r="G257" s="30"/>
      <c r="H257" s="28"/>
      <c r="I257" s="30"/>
      <c r="J257" s="30"/>
    </row>
    <row r="258" spans="1:11">
      <c r="A258" s="28"/>
      <c r="B258" s="28"/>
      <c r="C258" s="33"/>
      <c r="D258" s="29"/>
      <c r="E258" s="30"/>
      <c r="F258" s="28"/>
      <c r="G258" s="30"/>
      <c r="H258" s="28"/>
      <c r="I258" s="30"/>
      <c r="J258" s="30"/>
    </row>
    <row r="259" spans="1:11">
      <c r="A259" s="31"/>
      <c r="B259" s="31"/>
      <c r="C259" s="443"/>
      <c r="D259" s="32"/>
      <c r="E259" s="45"/>
      <c r="F259" s="31"/>
      <c r="G259" s="31"/>
      <c r="H259" s="31"/>
      <c r="I259" s="31"/>
      <c r="J259" s="31"/>
    </row>
    <row r="260" spans="1:11">
      <c r="A260" s="28"/>
      <c r="B260" s="28"/>
      <c r="C260" s="33"/>
      <c r="D260" s="29"/>
      <c r="E260" s="30"/>
      <c r="F260" s="28"/>
      <c r="G260" s="30"/>
      <c r="H260" s="28"/>
      <c r="I260" s="30"/>
      <c r="J260" s="30"/>
    </row>
    <row r="261" spans="1:11">
      <c r="A261" s="28"/>
      <c r="B261" s="28"/>
      <c r="C261" s="33"/>
      <c r="D261" s="29"/>
      <c r="E261" s="30"/>
      <c r="F261" s="28"/>
      <c r="G261" s="30"/>
      <c r="H261" s="28"/>
      <c r="I261" s="30"/>
      <c r="J261" s="30"/>
    </row>
    <row r="262" spans="1:11">
      <c r="A262" s="28"/>
      <c r="B262" s="28"/>
      <c r="C262" s="33"/>
      <c r="D262" s="29"/>
      <c r="E262" s="30"/>
      <c r="F262" s="30"/>
      <c r="G262" s="30"/>
      <c r="H262" s="28"/>
      <c r="I262" s="30"/>
      <c r="J262" s="30"/>
    </row>
    <row r="263" spans="1:11">
      <c r="A263" s="28"/>
      <c r="B263" s="28"/>
      <c r="C263" s="33"/>
      <c r="D263" s="29"/>
      <c r="E263" s="30"/>
      <c r="F263" s="30"/>
      <c r="G263" s="30"/>
      <c r="H263" s="28"/>
      <c r="I263" s="30"/>
      <c r="J263" s="30"/>
    </row>
    <row r="264" spans="1:11">
      <c r="A264" s="28"/>
      <c r="B264" s="28"/>
      <c r="C264" s="33"/>
      <c r="D264" s="29"/>
      <c r="E264" s="30"/>
      <c r="F264" s="30"/>
      <c r="G264" s="30"/>
      <c r="H264" s="28"/>
      <c r="I264" s="30"/>
      <c r="J264" s="30"/>
    </row>
    <row r="265" spans="1:11">
      <c r="A265" s="28"/>
      <c r="B265" s="28"/>
      <c r="C265" s="33"/>
      <c r="D265" s="29"/>
      <c r="E265" s="30"/>
      <c r="F265" s="30"/>
      <c r="G265" s="30"/>
      <c r="H265" s="28"/>
      <c r="I265" s="30"/>
      <c r="J265" s="30"/>
    </row>
    <row r="266" spans="1:11">
      <c r="A266" s="28"/>
      <c r="B266" s="28"/>
      <c r="C266" s="33"/>
      <c r="D266" s="29"/>
      <c r="E266" s="30"/>
      <c r="F266" s="30"/>
      <c r="G266" s="30"/>
      <c r="H266" s="28"/>
      <c r="I266" s="30"/>
      <c r="J266" s="30"/>
    </row>
    <row r="267" spans="1:11">
      <c r="A267" s="28"/>
      <c r="B267" s="28"/>
      <c r="C267" s="33"/>
      <c r="D267" s="29"/>
      <c r="E267" s="30"/>
      <c r="F267" s="30"/>
      <c r="G267" s="30"/>
      <c r="H267" s="28"/>
      <c r="I267" s="30"/>
      <c r="J267" s="30"/>
    </row>
    <row r="268" spans="1:11">
      <c r="A268" s="28"/>
      <c r="B268" s="28"/>
      <c r="C268" s="33"/>
      <c r="D268" s="29"/>
      <c r="E268" s="30"/>
      <c r="F268" s="30"/>
      <c r="G268" s="30"/>
      <c r="H268" s="30"/>
      <c r="I268" s="30"/>
      <c r="J268" s="30"/>
    </row>
    <row r="269" spans="1:11">
      <c r="A269" s="28"/>
      <c r="B269" s="28"/>
      <c r="C269" s="33"/>
      <c r="D269" s="29"/>
      <c r="E269" s="30"/>
      <c r="F269" s="28"/>
      <c r="G269" s="30"/>
      <c r="H269" s="28"/>
      <c r="I269" s="30"/>
      <c r="J269" s="30"/>
    </row>
    <row r="270" spans="1:11">
      <c r="A270" s="28"/>
      <c r="B270" s="28"/>
      <c r="C270" s="33"/>
      <c r="D270" s="29"/>
      <c r="E270" s="30"/>
      <c r="F270" s="30"/>
      <c r="G270" s="30"/>
      <c r="H270" s="28"/>
      <c r="I270" s="30"/>
      <c r="J270" s="30"/>
    </row>
    <row r="271" spans="1:11">
      <c r="A271" s="28"/>
      <c r="B271" s="28"/>
      <c r="C271" s="33"/>
      <c r="D271" s="29"/>
      <c r="E271" s="30"/>
      <c r="F271" s="30"/>
      <c r="G271" s="30"/>
      <c r="H271" s="28"/>
      <c r="I271" s="30"/>
      <c r="J271" s="30"/>
    </row>
    <row r="272" spans="1:11">
      <c r="A272" s="28"/>
      <c r="B272" s="28"/>
      <c r="C272" s="33"/>
      <c r="D272" s="29"/>
      <c r="E272" s="30"/>
      <c r="F272" s="28"/>
      <c r="G272" s="30"/>
      <c r="H272" s="28"/>
      <c r="I272" s="30"/>
      <c r="J272" s="30"/>
      <c r="K272" s="26"/>
    </row>
    <row r="273" spans="1:11">
      <c r="A273" s="33"/>
      <c r="B273" s="33"/>
      <c r="C273" s="34"/>
      <c r="D273" s="35"/>
      <c r="E273" s="46"/>
      <c r="F273" s="33"/>
      <c r="G273" s="30"/>
      <c r="H273" s="33"/>
      <c r="I273" s="30"/>
      <c r="J273" s="30"/>
    </row>
    <row r="274" spans="1:11">
      <c r="A274" s="28"/>
      <c r="B274" s="28"/>
      <c r="C274" s="33"/>
      <c r="D274" s="29"/>
      <c r="E274" s="30"/>
      <c r="F274" s="28"/>
      <c r="G274" s="30"/>
      <c r="H274" s="28"/>
      <c r="I274" s="30"/>
      <c r="J274" s="30"/>
    </row>
    <row r="275" spans="1:11">
      <c r="A275" s="28"/>
      <c r="B275" s="28"/>
      <c r="C275" s="33"/>
      <c r="D275" s="29"/>
      <c r="E275" s="30"/>
      <c r="F275" s="28"/>
      <c r="G275" s="30"/>
      <c r="H275" s="28"/>
      <c r="I275" s="30"/>
      <c r="J275" s="30"/>
    </row>
    <row r="276" spans="1:11">
      <c r="A276" s="28"/>
      <c r="B276" s="28"/>
      <c r="C276" s="33"/>
      <c r="D276" s="29"/>
      <c r="E276" s="30"/>
      <c r="F276" s="28"/>
      <c r="G276" s="30"/>
      <c r="H276" s="28"/>
      <c r="I276" s="30"/>
      <c r="J276" s="30"/>
    </row>
    <row r="277" spans="1:11">
      <c r="A277" s="28"/>
      <c r="B277" s="28"/>
      <c r="C277" s="33"/>
      <c r="D277" s="29"/>
      <c r="E277" s="30"/>
      <c r="F277" s="28"/>
      <c r="G277" s="30"/>
      <c r="H277" s="28"/>
      <c r="I277" s="30"/>
      <c r="J277" s="30"/>
    </row>
    <row r="278" spans="1:11">
      <c r="A278" s="28"/>
      <c r="B278" s="28"/>
      <c r="C278" s="33"/>
      <c r="D278" s="29"/>
      <c r="E278" s="30"/>
      <c r="F278" s="30"/>
      <c r="G278" s="30"/>
      <c r="H278" s="30"/>
      <c r="I278" s="30"/>
      <c r="J278" s="30"/>
    </row>
    <row r="279" spans="1:11">
      <c r="A279" s="31"/>
      <c r="B279" s="31"/>
      <c r="C279" s="443"/>
      <c r="D279" s="32"/>
      <c r="E279" s="45"/>
      <c r="F279" s="31"/>
      <c r="G279" s="31"/>
      <c r="H279" s="31"/>
      <c r="I279" s="31"/>
      <c r="J279" s="31"/>
    </row>
    <row r="280" spans="1:11">
      <c r="A280" s="31"/>
      <c r="B280" s="31"/>
      <c r="C280" s="443"/>
    </row>
    <row r="281" spans="1:11">
      <c r="A281" s="28"/>
      <c r="B281" s="28"/>
      <c r="C281" s="35"/>
      <c r="D281" s="28"/>
      <c r="E281" s="30"/>
      <c r="F281" s="28"/>
      <c r="G281" s="28"/>
      <c r="H281" s="28"/>
      <c r="I281" s="28"/>
      <c r="J281" s="28"/>
      <c r="K281" s="12"/>
    </row>
    <row r="282" spans="1:11">
      <c r="A282" s="28"/>
      <c r="B282" s="28"/>
      <c r="C282" s="33"/>
      <c r="D282" s="29"/>
      <c r="E282" s="30"/>
      <c r="F282" s="30"/>
      <c r="G282" s="30"/>
      <c r="H282" s="30"/>
      <c r="I282" s="30"/>
      <c r="J282" s="30"/>
      <c r="K282" s="28"/>
    </row>
    <row r="283" spans="1:11">
      <c r="A283" s="28"/>
      <c r="B283" s="28"/>
      <c r="C283" s="33"/>
      <c r="D283" s="29"/>
      <c r="E283" s="30"/>
      <c r="F283" s="30"/>
      <c r="G283" s="30"/>
      <c r="H283" s="30"/>
      <c r="I283" s="30"/>
      <c r="J283" s="30"/>
      <c r="K283" s="28"/>
    </row>
    <row r="284" spans="1:11">
      <c r="A284" s="28"/>
      <c r="B284" s="28"/>
      <c r="C284" s="33"/>
      <c r="D284" s="29"/>
      <c r="E284" s="30"/>
      <c r="F284" s="30"/>
      <c r="G284" s="30"/>
      <c r="H284" s="30"/>
      <c r="I284" s="30"/>
      <c r="J284" s="30"/>
      <c r="K284" s="28"/>
    </row>
    <row r="285" spans="1:11">
      <c r="A285" s="28"/>
      <c r="B285" s="28"/>
      <c r="C285" s="33"/>
      <c r="D285" s="29"/>
      <c r="E285" s="30"/>
      <c r="F285" s="30"/>
      <c r="G285" s="30"/>
      <c r="H285" s="30"/>
      <c r="I285" s="30"/>
      <c r="J285" s="30"/>
      <c r="K285" s="28"/>
    </row>
    <row r="286" spans="1:11">
      <c r="A286" s="28"/>
      <c r="B286" s="28"/>
      <c r="C286" s="33"/>
      <c r="D286" s="29"/>
      <c r="E286" s="30"/>
      <c r="F286" s="30"/>
      <c r="G286" s="30"/>
      <c r="H286" s="30"/>
      <c r="I286" s="30"/>
      <c r="J286" s="30"/>
      <c r="K286" s="28"/>
    </row>
    <row r="287" spans="1:11">
      <c r="A287" s="28"/>
      <c r="B287" s="28"/>
      <c r="C287" s="33"/>
      <c r="D287" s="29"/>
      <c r="E287" s="30"/>
      <c r="F287" s="30"/>
      <c r="G287" s="30"/>
      <c r="H287" s="30"/>
      <c r="I287" s="30"/>
      <c r="J287" s="30"/>
      <c r="K287" s="28"/>
    </row>
    <row r="288" spans="1:11">
      <c r="A288" s="28"/>
      <c r="B288" s="28"/>
      <c r="C288" s="33"/>
      <c r="D288" s="29"/>
      <c r="E288" s="30"/>
      <c r="F288" s="30"/>
      <c r="G288" s="30"/>
      <c r="H288" s="30"/>
      <c r="I288" s="30"/>
      <c r="J288" s="30"/>
      <c r="K288" s="28"/>
    </row>
    <row r="289" spans="1:11">
      <c r="A289" s="28"/>
      <c r="B289" s="28"/>
      <c r="C289" s="33"/>
      <c r="D289" s="29"/>
      <c r="E289" s="30"/>
      <c r="F289" s="30"/>
      <c r="G289" s="30"/>
      <c r="H289" s="30"/>
      <c r="I289" s="30"/>
      <c r="J289" s="30"/>
      <c r="K289" s="28"/>
    </row>
    <row r="290" spans="1:11">
      <c r="A290" s="28"/>
      <c r="B290" s="28"/>
      <c r="C290" s="33"/>
      <c r="D290" s="29"/>
      <c r="E290" s="30"/>
      <c r="F290" s="30"/>
      <c r="G290" s="30"/>
      <c r="H290" s="30"/>
      <c r="I290" s="30"/>
      <c r="J290" s="30"/>
      <c r="K290" s="28"/>
    </row>
    <row r="291" spans="1:11">
      <c r="A291" s="28"/>
      <c r="B291" s="28"/>
      <c r="C291" s="33"/>
      <c r="D291" s="29"/>
      <c r="E291" s="30"/>
      <c r="F291" s="30"/>
      <c r="G291" s="30"/>
      <c r="H291" s="30"/>
      <c r="I291" s="30"/>
      <c r="J291" s="30"/>
      <c r="K291" s="28"/>
    </row>
    <row r="292" spans="1:11">
      <c r="A292" s="28"/>
      <c r="B292" s="28"/>
      <c r="C292" s="33"/>
      <c r="D292" s="29"/>
      <c r="E292" s="30"/>
      <c r="F292" s="30"/>
      <c r="G292" s="30"/>
      <c r="H292" s="30"/>
      <c r="I292" s="30"/>
      <c r="J292" s="30"/>
      <c r="K292" s="28"/>
    </row>
    <row r="293" spans="1:11">
      <c r="A293" s="28"/>
      <c r="B293" s="28"/>
      <c r="C293" s="33"/>
      <c r="D293" s="29"/>
      <c r="E293" s="30"/>
      <c r="F293" s="30"/>
      <c r="G293" s="30"/>
      <c r="H293" s="30"/>
      <c r="I293" s="30"/>
      <c r="J293" s="30"/>
      <c r="K293" s="28"/>
    </row>
    <row r="294" spans="1:11">
      <c r="A294" s="28"/>
      <c r="B294" s="28"/>
      <c r="C294" s="33"/>
      <c r="D294" s="29"/>
      <c r="E294" s="30"/>
      <c r="F294" s="30"/>
      <c r="G294" s="30"/>
      <c r="H294" s="30"/>
      <c r="I294" s="30"/>
      <c r="J294" s="30"/>
      <c r="K294" s="28"/>
    </row>
    <row r="295" spans="1:11">
      <c r="A295" s="28"/>
      <c r="B295" s="28"/>
      <c r="C295" s="33"/>
      <c r="D295" s="29"/>
      <c r="E295" s="30"/>
      <c r="F295" s="30"/>
      <c r="G295" s="30"/>
      <c r="H295" s="30"/>
      <c r="I295" s="30"/>
      <c r="J295" s="30"/>
      <c r="K295" s="28"/>
    </row>
    <row r="296" spans="1:11">
      <c r="A296" s="28"/>
      <c r="B296" s="28"/>
      <c r="C296" s="33"/>
      <c r="D296" s="29"/>
      <c r="E296" s="30"/>
      <c r="F296" s="30"/>
      <c r="G296" s="30"/>
      <c r="H296" s="30"/>
      <c r="I296" s="30"/>
      <c r="J296" s="30"/>
      <c r="K296" s="28"/>
    </row>
    <row r="297" spans="1:11">
      <c r="A297" s="28"/>
      <c r="B297" s="28"/>
      <c r="C297" s="33"/>
      <c r="D297" s="29"/>
      <c r="E297" s="30"/>
      <c r="F297" s="30"/>
      <c r="G297" s="30"/>
      <c r="H297" s="30"/>
      <c r="I297" s="30"/>
      <c r="J297" s="30"/>
      <c r="K297" s="28"/>
    </row>
    <row r="298" spans="1:11">
      <c r="A298" s="28"/>
      <c r="B298" s="28"/>
      <c r="C298" s="40"/>
      <c r="D298" s="29"/>
      <c r="E298" s="41"/>
      <c r="F298" s="30"/>
      <c r="G298" s="30"/>
      <c r="H298" s="30"/>
      <c r="I298" s="30"/>
      <c r="J298" s="30"/>
      <c r="K298" s="28"/>
    </row>
    <row r="299" spans="1:11">
      <c r="A299" s="28"/>
      <c r="B299" s="28"/>
      <c r="C299" s="40"/>
      <c r="D299" s="29"/>
      <c r="E299" s="41"/>
      <c r="F299" s="30"/>
      <c r="G299" s="30"/>
      <c r="H299" s="30"/>
      <c r="I299" s="30"/>
      <c r="J299" s="30"/>
      <c r="K299" s="28"/>
    </row>
    <row r="300" spans="1:11">
      <c r="A300" s="28"/>
      <c r="B300" s="28"/>
      <c r="C300" s="40"/>
      <c r="D300" s="29"/>
      <c r="E300" s="41"/>
      <c r="F300" s="30"/>
      <c r="G300" s="30"/>
      <c r="H300" s="30"/>
      <c r="I300" s="30"/>
      <c r="J300" s="30"/>
      <c r="K300" s="28"/>
    </row>
    <row r="301" spans="1:11">
      <c r="A301" s="28"/>
      <c r="B301" s="28"/>
      <c r="C301" s="40"/>
      <c r="D301" s="29"/>
      <c r="E301" s="41"/>
      <c r="F301" s="30"/>
      <c r="G301" s="30"/>
      <c r="H301" s="30"/>
      <c r="I301" s="30"/>
      <c r="J301" s="30"/>
      <c r="K301" s="28"/>
    </row>
    <row r="302" spans="1:11">
      <c r="A302" s="28"/>
      <c r="B302" s="28"/>
      <c r="C302" s="33"/>
      <c r="D302" s="29"/>
      <c r="E302" s="30"/>
      <c r="F302" s="30"/>
      <c r="G302" s="30"/>
      <c r="H302" s="30"/>
      <c r="I302" s="30"/>
      <c r="J302" s="30"/>
      <c r="K302" s="28"/>
    </row>
    <row r="303" spans="1:11">
      <c r="A303" s="28"/>
      <c r="B303" s="28"/>
      <c r="C303" s="33"/>
      <c r="D303" s="42"/>
      <c r="E303" s="30"/>
      <c r="F303" s="30"/>
      <c r="G303" s="30"/>
      <c r="H303" s="30"/>
      <c r="I303" s="30"/>
      <c r="J303" s="30"/>
      <c r="K303" s="28"/>
    </row>
    <row r="304" spans="1:11">
      <c r="A304" s="28"/>
      <c r="B304" s="28"/>
      <c r="C304" s="33"/>
      <c r="D304" s="29"/>
      <c r="E304" s="30"/>
      <c r="F304" s="30"/>
      <c r="G304" s="30"/>
      <c r="H304" s="30"/>
      <c r="I304" s="30"/>
      <c r="J304" s="30"/>
      <c r="K304" s="28"/>
    </row>
    <row r="305" spans="1:11">
      <c r="A305" s="28"/>
      <c r="B305" s="28"/>
      <c r="C305" s="33"/>
      <c r="D305" s="29"/>
      <c r="E305" s="30"/>
      <c r="F305" s="30"/>
      <c r="G305" s="30"/>
      <c r="H305" s="30"/>
      <c r="I305" s="30"/>
      <c r="J305" s="30"/>
      <c r="K305" s="28"/>
    </row>
    <row r="306" spans="1:11">
      <c r="A306" s="28"/>
      <c r="B306" s="28"/>
      <c r="C306" s="33"/>
      <c r="D306" s="29"/>
      <c r="E306" s="30"/>
      <c r="F306" s="30"/>
      <c r="G306" s="30"/>
      <c r="H306" s="30"/>
      <c r="I306" s="30"/>
      <c r="J306" s="30"/>
      <c r="K306" s="28"/>
    </row>
    <row r="307" spans="1:11">
      <c r="A307" s="28"/>
      <c r="B307" s="28"/>
      <c r="C307" s="33"/>
      <c r="D307" s="29"/>
      <c r="E307" s="30"/>
      <c r="F307" s="30"/>
      <c r="G307" s="30"/>
      <c r="H307" s="30"/>
      <c r="I307" s="30"/>
      <c r="J307" s="30"/>
      <c r="K307" s="28"/>
    </row>
    <row r="308" spans="1:11">
      <c r="A308" s="28"/>
      <c r="B308" s="28"/>
      <c r="C308" s="33"/>
      <c r="D308" s="29"/>
      <c r="E308" s="30"/>
      <c r="F308" s="30"/>
      <c r="G308" s="30"/>
      <c r="H308" s="30"/>
      <c r="I308" s="30"/>
      <c r="J308" s="30"/>
      <c r="K308" s="28"/>
    </row>
    <row r="309" spans="1:11">
      <c r="A309" s="28"/>
      <c r="B309" s="28"/>
      <c r="C309" s="33"/>
      <c r="D309" s="29"/>
      <c r="E309" s="30"/>
      <c r="F309" s="30"/>
      <c r="G309" s="30"/>
      <c r="H309" s="30"/>
      <c r="I309" s="30"/>
      <c r="J309" s="30"/>
      <c r="K309" s="28"/>
    </row>
    <row r="310" spans="1:11">
      <c r="A310" s="28"/>
      <c r="B310" s="28"/>
      <c r="C310" s="443"/>
      <c r="D310" s="29"/>
      <c r="E310" s="30"/>
      <c r="F310" s="30"/>
      <c r="G310" s="30"/>
      <c r="H310" s="30"/>
      <c r="I310" s="30"/>
      <c r="J310" s="30"/>
      <c r="K310" s="28"/>
    </row>
    <row r="311" spans="1:11">
      <c r="A311" s="28"/>
      <c r="B311" s="28"/>
      <c r="C311" s="33"/>
      <c r="D311" s="29"/>
      <c r="E311" s="30"/>
      <c r="F311" s="30"/>
      <c r="G311" s="30"/>
      <c r="H311" s="30"/>
      <c r="I311" s="30"/>
      <c r="J311" s="30"/>
      <c r="K311" s="28"/>
    </row>
    <row r="312" spans="1:11">
      <c r="A312" s="28"/>
      <c r="B312" s="28"/>
      <c r="C312" s="33"/>
      <c r="D312" s="29"/>
      <c r="E312" s="30"/>
      <c r="F312" s="30"/>
      <c r="G312" s="30"/>
      <c r="H312" s="30"/>
      <c r="I312" s="30"/>
      <c r="J312" s="30"/>
      <c r="K312" s="28"/>
    </row>
    <row r="313" spans="1:11">
      <c r="A313" s="28"/>
      <c r="B313" s="28"/>
      <c r="C313" s="33"/>
      <c r="D313" s="29"/>
      <c r="E313" s="30"/>
      <c r="F313" s="30"/>
      <c r="G313" s="30"/>
      <c r="H313" s="30"/>
      <c r="I313" s="30"/>
      <c r="J313" s="30"/>
      <c r="K313" s="28"/>
    </row>
    <row r="314" spans="1:11">
      <c r="A314" s="28"/>
      <c r="B314" s="28"/>
      <c r="C314" s="33"/>
      <c r="D314" s="29"/>
      <c r="E314" s="30"/>
      <c r="F314" s="30"/>
      <c r="G314" s="30"/>
      <c r="H314" s="30"/>
      <c r="I314" s="30"/>
      <c r="J314" s="30"/>
      <c r="K314" s="28"/>
    </row>
    <row r="315" spans="1:11">
      <c r="A315" s="28"/>
      <c r="B315" s="28"/>
      <c r="C315" s="33"/>
      <c r="D315" s="29"/>
      <c r="E315" s="30"/>
      <c r="F315" s="30"/>
      <c r="G315" s="30"/>
      <c r="H315" s="30"/>
      <c r="I315" s="30"/>
      <c r="J315" s="30"/>
      <c r="K315" s="28"/>
    </row>
    <row r="316" spans="1:11">
      <c r="A316" s="42"/>
      <c r="B316" s="42"/>
      <c r="C316" s="444"/>
      <c r="D316"/>
      <c r="G316" s="27"/>
    </row>
    <row r="317" spans="1:11">
      <c r="A317" s="42"/>
      <c r="B317" s="42"/>
      <c r="C317" s="444"/>
      <c r="D317"/>
    </row>
    <row r="318" spans="1:11">
      <c r="A318" s="1"/>
      <c r="B318" s="1"/>
      <c r="D318"/>
    </row>
  </sheetData>
  <mergeCells count="48">
    <mergeCell ref="A22:I22"/>
    <mergeCell ref="A1:K1"/>
    <mergeCell ref="D5:G5"/>
    <mergeCell ref="D7:G7"/>
    <mergeCell ref="A9:A10"/>
    <mergeCell ref="B9:B10"/>
    <mergeCell ref="C9:C10"/>
    <mergeCell ref="D9:D10"/>
    <mergeCell ref="E9:E10"/>
    <mergeCell ref="F9:G9"/>
    <mergeCell ref="H9:I9"/>
    <mergeCell ref="L9:O9"/>
    <mergeCell ref="P9:T9"/>
    <mergeCell ref="B11:K11"/>
    <mergeCell ref="A14:I14"/>
    <mergeCell ref="B15:K15"/>
    <mergeCell ref="A121:I121"/>
    <mergeCell ref="B23:K23"/>
    <mergeCell ref="A32:I32"/>
    <mergeCell ref="B33:K33"/>
    <mergeCell ref="A54:I54"/>
    <mergeCell ref="B55:K55"/>
    <mergeCell ref="A61:I61"/>
    <mergeCell ref="B62:K62"/>
    <mergeCell ref="A86:I86"/>
    <mergeCell ref="B87:K87"/>
    <mergeCell ref="A94:I94"/>
    <mergeCell ref="B95:K95"/>
    <mergeCell ref="A231:I231"/>
    <mergeCell ref="B122:K122"/>
    <mergeCell ref="A130:I130"/>
    <mergeCell ref="B131:K131"/>
    <mergeCell ref="A189:I189"/>
    <mergeCell ref="B190:K190"/>
    <mergeCell ref="A193:I193"/>
    <mergeCell ref="B194:K194"/>
    <mergeCell ref="A203:I203"/>
    <mergeCell ref="B204:K204"/>
    <mergeCell ref="A220:I220"/>
    <mergeCell ref="B221:K221"/>
    <mergeCell ref="C244:K244"/>
    <mergeCell ref="A245:I245"/>
    <mergeCell ref="B232:K232"/>
    <mergeCell ref="A237:I237"/>
    <mergeCell ref="B238:K238"/>
    <mergeCell ref="A240:I240"/>
    <mergeCell ref="B241:K241"/>
    <mergeCell ref="A243:I243"/>
  </mergeCells>
  <pageMargins left="0.51181102362204722" right="0.51181102362204722" top="0.78740157480314965" bottom="0.78740157480314965" header="0.31496062992125984" footer="0.31496062992125984"/>
  <pageSetup paperSize="9" scale="71" fitToHeight="10" orientation="landscape" r:id="rId1"/>
  <headerFooter>
    <oddFooter>&amp;LCONVIVÊNCIA&amp;C 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78"/>
  <sheetViews>
    <sheetView zoomScale="90" zoomScaleNormal="90" workbookViewId="0">
      <pane ySplit="10" topLeftCell="A11" activePane="bottomLeft" state="frozen"/>
      <selection pane="bottomLeft" activeCell="A11" sqref="A11:XFD11"/>
    </sheetView>
  </sheetViews>
  <sheetFormatPr defaultRowHeight="15"/>
  <cols>
    <col min="1" max="1" width="7" style="2" customWidth="1"/>
    <col min="2" max="2" width="11.28515625" style="2" customWidth="1"/>
    <col min="3" max="3" width="63.7109375" customWidth="1"/>
    <col min="4" max="4" width="9.140625" style="1"/>
    <col min="5" max="5" width="10.7109375" style="27" customWidth="1"/>
    <col min="6" max="9" width="15.7109375" customWidth="1"/>
    <col min="10" max="11" width="13.140625" customWidth="1"/>
    <col min="12" max="12" width="9.42578125" bestFit="1" customWidth="1"/>
    <col min="14" max="14" width="40.5703125" customWidth="1"/>
    <col min="19" max="19" width="12.85546875" customWidth="1"/>
  </cols>
  <sheetData>
    <row r="1" spans="1:20" s="12" customFormat="1" ht="18.75">
      <c r="A1" s="490" t="s">
        <v>30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20">
      <c r="D2" s="3"/>
      <c r="E2" s="44"/>
      <c r="F2" s="1"/>
      <c r="G2" s="1"/>
      <c r="H2" s="1"/>
    </row>
    <row r="3" spans="1:20" ht="18.75">
      <c r="D3" s="51" t="s">
        <v>262</v>
      </c>
      <c r="E3" s="52"/>
      <c r="F3" s="52"/>
      <c r="G3" s="52"/>
      <c r="H3" s="6"/>
      <c r="J3" s="19"/>
      <c r="K3" s="17"/>
    </row>
    <row r="4" spans="1:20">
      <c r="D4" s="66" t="s">
        <v>511</v>
      </c>
      <c r="E4" s="67"/>
      <c r="F4" s="65"/>
      <c r="G4" s="65"/>
      <c r="H4" s="7"/>
      <c r="J4" s="18"/>
      <c r="K4" s="17"/>
    </row>
    <row r="5" spans="1:20">
      <c r="D5" s="491" t="s">
        <v>692</v>
      </c>
      <c r="E5" s="491"/>
      <c r="F5" s="491"/>
      <c r="G5" s="491"/>
      <c r="H5" s="7"/>
      <c r="J5" s="18"/>
      <c r="K5" s="17"/>
    </row>
    <row r="6" spans="1:20">
      <c r="D6" s="55" t="s">
        <v>729</v>
      </c>
      <c r="E6" s="55"/>
      <c r="F6" s="55"/>
      <c r="G6" s="55"/>
      <c r="H6" s="7"/>
      <c r="J6" s="18"/>
      <c r="K6" s="17"/>
    </row>
    <row r="7" spans="1:20">
      <c r="D7" s="491" t="s">
        <v>661</v>
      </c>
      <c r="E7" s="491"/>
      <c r="F7" s="491"/>
      <c r="G7" s="491"/>
      <c r="H7" s="7"/>
      <c r="J7" s="18"/>
      <c r="K7" s="17"/>
    </row>
    <row r="8" spans="1:20">
      <c r="J8" s="17"/>
      <c r="K8" s="17"/>
    </row>
    <row r="9" spans="1:20" s="12" customFormat="1">
      <c r="A9" s="471" t="s">
        <v>0</v>
      </c>
      <c r="B9" s="471" t="s">
        <v>125</v>
      </c>
      <c r="C9" s="471" t="s">
        <v>1</v>
      </c>
      <c r="D9" s="471" t="s">
        <v>2</v>
      </c>
      <c r="E9" s="500" t="s">
        <v>3</v>
      </c>
      <c r="F9" s="504" t="s">
        <v>22</v>
      </c>
      <c r="G9" s="505"/>
      <c r="H9" s="502" t="s">
        <v>23</v>
      </c>
      <c r="I9" s="503"/>
      <c r="J9" s="9" t="s">
        <v>19</v>
      </c>
      <c r="K9" s="16" t="s">
        <v>668</v>
      </c>
      <c r="L9" s="499"/>
      <c r="M9" s="499"/>
      <c r="N9" s="499"/>
      <c r="O9" s="499"/>
      <c r="P9" s="498"/>
      <c r="Q9" s="498"/>
      <c r="R9" s="498"/>
      <c r="S9" s="498"/>
      <c r="T9" s="498"/>
    </row>
    <row r="10" spans="1:20">
      <c r="A10" s="472"/>
      <c r="B10" s="472"/>
      <c r="C10" s="472"/>
      <c r="D10" s="472"/>
      <c r="E10" s="501"/>
      <c r="F10" s="85" t="s">
        <v>20</v>
      </c>
      <c r="G10" s="10" t="s">
        <v>21</v>
      </c>
      <c r="H10" s="10" t="s">
        <v>20</v>
      </c>
      <c r="I10" s="10" t="s">
        <v>21</v>
      </c>
      <c r="J10" s="10" t="s">
        <v>667</v>
      </c>
      <c r="K10" s="37">
        <f>E4</f>
        <v>0</v>
      </c>
      <c r="L10" s="14"/>
      <c r="M10" s="15"/>
      <c r="N10" s="15"/>
      <c r="O10" s="15"/>
      <c r="P10" s="14"/>
      <c r="Q10" s="14"/>
      <c r="R10" s="15"/>
      <c r="S10" s="15"/>
      <c r="T10" s="14"/>
    </row>
    <row r="11" spans="1:20">
      <c r="A11" s="60" t="s">
        <v>4</v>
      </c>
      <c r="B11" s="458" t="s">
        <v>24</v>
      </c>
      <c r="C11" s="459"/>
      <c r="D11" s="459"/>
      <c r="E11" s="459"/>
      <c r="F11" s="459"/>
      <c r="G11" s="459"/>
      <c r="H11" s="459"/>
      <c r="I11" s="459"/>
      <c r="J11" s="459"/>
      <c r="K11" s="473"/>
      <c r="L11" s="11"/>
      <c r="M11" s="11"/>
      <c r="N11" s="11"/>
      <c r="O11" s="11"/>
      <c r="P11" s="11"/>
      <c r="Q11" s="11"/>
      <c r="R11" s="11"/>
      <c r="S11" s="11"/>
      <c r="T11" s="11"/>
    </row>
    <row r="12" spans="1:20" s="53" customFormat="1">
      <c r="A12" s="48" t="s">
        <v>8</v>
      </c>
      <c r="B12" s="84">
        <v>73672</v>
      </c>
      <c r="C12" s="49" t="s">
        <v>163</v>
      </c>
      <c r="D12" s="50" t="s">
        <v>29</v>
      </c>
      <c r="E12" s="47">
        <v>642.1</v>
      </c>
      <c r="F12" s="47"/>
      <c r="G12" s="47"/>
      <c r="H12" s="47"/>
      <c r="I12" s="47"/>
      <c r="J12" s="47"/>
      <c r="K12" s="47"/>
      <c r="L12" s="11"/>
      <c r="M12" s="11"/>
      <c r="N12" s="11"/>
      <c r="O12" s="11"/>
      <c r="P12" s="11"/>
      <c r="Q12" s="11"/>
      <c r="R12" s="11"/>
      <c r="S12" s="11"/>
      <c r="T12" s="11"/>
    </row>
    <row r="13" spans="1:20" s="53" customFormat="1" ht="24.75">
      <c r="A13" s="48" t="s">
        <v>9</v>
      </c>
      <c r="B13" s="195" t="s">
        <v>176</v>
      </c>
      <c r="C13" s="58" t="s">
        <v>177</v>
      </c>
      <c r="D13" s="50" t="s">
        <v>29</v>
      </c>
      <c r="E13" s="47">
        <v>550.19000000000005</v>
      </c>
      <c r="F13" s="47"/>
      <c r="G13" s="47"/>
      <c r="H13" s="47"/>
      <c r="I13" s="47"/>
      <c r="J13" s="47"/>
      <c r="K13" s="47"/>
      <c r="L13" s="11"/>
      <c r="M13" s="11"/>
      <c r="N13" s="11"/>
      <c r="O13" s="11"/>
      <c r="P13" s="11"/>
      <c r="Q13" s="11"/>
      <c r="R13" s="11"/>
      <c r="S13" s="11"/>
      <c r="T13" s="11"/>
    </row>
    <row r="14" spans="1:20">
      <c r="A14" s="494" t="s">
        <v>15</v>
      </c>
      <c r="B14" s="494"/>
      <c r="C14" s="495"/>
      <c r="D14" s="495"/>
      <c r="E14" s="495"/>
      <c r="F14" s="495"/>
      <c r="G14" s="495"/>
      <c r="H14" s="495"/>
      <c r="I14" s="495"/>
      <c r="J14" s="22"/>
      <c r="K14" s="38"/>
      <c r="L14" s="11"/>
      <c r="M14" s="11"/>
      <c r="N14" s="11"/>
      <c r="O14" s="11"/>
      <c r="P14" s="11"/>
      <c r="Q14" s="11"/>
      <c r="R14" s="11"/>
      <c r="S14" s="11"/>
      <c r="T14" s="11"/>
    </row>
    <row r="15" spans="1:20">
      <c r="A15" s="60" t="s">
        <v>5</v>
      </c>
      <c r="B15" s="458" t="s">
        <v>103</v>
      </c>
      <c r="C15" s="459"/>
      <c r="D15" s="459"/>
      <c r="E15" s="459"/>
      <c r="F15" s="459"/>
      <c r="G15" s="459"/>
      <c r="H15" s="459"/>
      <c r="I15" s="459"/>
      <c r="J15" s="459"/>
      <c r="K15" s="473"/>
      <c r="L15" s="11"/>
      <c r="M15" s="11"/>
      <c r="N15" s="11"/>
      <c r="O15" s="11"/>
      <c r="P15" s="11"/>
      <c r="Q15" s="11"/>
      <c r="R15" s="11"/>
      <c r="S15" s="11"/>
      <c r="T15" s="11"/>
    </row>
    <row r="16" spans="1:20" s="53" customFormat="1">
      <c r="A16" s="59" t="s">
        <v>10</v>
      </c>
      <c r="B16" s="196" t="s">
        <v>178</v>
      </c>
      <c r="C16" s="232" t="s">
        <v>179</v>
      </c>
      <c r="D16" s="50" t="s">
        <v>47</v>
      </c>
      <c r="E16" s="47">
        <f>E12*2</f>
        <v>1284.2</v>
      </c>
      <c r="F16" s="47"/>
      <c r="G16" s="47"/>
      <c r="H16" s="47"/>
      <c r="I16" s="47"/>
      <c r="J16" s="47"/>
      <c r="K16" s="47"/>
      <c r="L16" s="11"/>
      <c r="M16" s="11"/>
      <c r="N16" s="11"/>
      <c r="O16" s="11"/>
      <c r="P16" s="11"/>
      <c r="Q16" s="11"/>
      <c r="R16" s="11"/>
      <c r="S16" s="11"/>
      <c r="T16" s="11"/>
    </row>
    <row r="17" spans="1:20" s="53" customFormat="1">
      <c r="A17" s="59" t="s">
        <v>11</v>
      </c>
      <c r="B17" s="169" t="s">
        <v>493</v>
      </c>
      <c r="C17" s="232" t="s">
        <v>494</v>
      </c>
      <c r="D17" s="165" t="s">
        <v>29</v>
      </c>
      <c r="E17" s="117">
        <f>E13/2</f>
        <v>275.09500000000003</v>
      </c>
      <c r="F17" s="117"/>
      <c r="G17" s="117"/>
      <c r="H17" s="117"/>
      <c r="I17" s="117"/>
      <c r="J17" s="117"/>
      <c r="K17" s="47"/>
      <c r="L17" s="11"/>
      <c r="M17" s="11"/>
      <c r="N17" s="11"/>
      <c r="O17" s="11"/>
      <c r="P17" s="11"/>
      <c r="Q17" s="11"/>
      <c r="R17" s="11"/>
      <c r="S17" s="11"/>
      <c r="T17" s="11"/>
    </row>
    <row r="18" spans="1:20" s="53" customFormat="1">
      <c r="A18" s="59" t="s">
        <v>442</v>
      </c>
      <c r="B18" s="170" t="s">
        <v>826</v>
      </c>
      <c r="C18" s="232" t="s">
        <v>827</v>
      </c>
      <c r="D18" s="165" t="s">
        <v>47</v>
      </c>
      <c r="E18" s="117">
        <v>135.68</v>
      </c>
      <c r="F18" s="117"/>
      <c r="G18" s="117"/>
      <c r="H18" s="117"/>
      <c r="I18" s="117"/>
      <c r="J18" s="117"/>
      <c r="K18" s="47"/>
      <c r="L18" s="11"/>
      <c r="M18" s="11"/>
      <c r="N18" s="11"/>
      <c r="O18" s="11"/>
      <c r="P18" s="11"/>
      <c r="Q18" s="11"/>
      <c r="R18" s="11"/>
      <c r="S18" s="11"/>
      <c r="T18" s="11"/>
    </row>
    <row r="19" spans="1:20" s="53" customFormat="1">
      <c r="A19" s="59" t="s">
        <v>443</v>
      </c>
      <c r="B19" s="170" t="s">
        <v>828</v>
      </c>
      <c r="C19" s="232" t="s">
        <v>829</v>
      </c>
      <c r="D19" s="173" t="s">
        <v>29</v>
      </c>
      <c r="E19" s="117">
        <v>493.19</v>
      </c>
      <c r="F19" s="117"/>
      <c r="G19" s="117"/>
      <c r="H19" s="117"/>
      <c r="I19" s="117"/>
      <c r="J19" s="117"/>
      <c r="K19" s="47"/>
      <c r="L19" s="11"/>
      <c r="M19" s="11"/>
      <c r="N19" s="11"/>
      <c r="O19" s="11"/>
      <c r="P19" s="11"/>
      <c r="Q19" s="11"/>
      <c r="R19" s="11"/>
      <c r="S19" s="11"/>
      <c r="T19" s="11"/>
    </row>
    <row r="20" spans="1:20" s="53" customFormat="1" ht="24.75">
      <c r="A20" s="59" t="s">
        <v>444</v>
      </c>
      <c r="B20" s="170">
        <v>72915</v>
      </c>
      <c r="C20" s="232" t="s">
        <v>492</v>
      </c>
      <c r="D20" s="165" t="s">
        <v>47</v>
      </c>
      <c r="E20" s="117">
        <v>93.72</v>
      </c>
      <c r="F20" s="117"/>
      <c r="G20" s="117"/>
      <c r="H20" s="117"/>
      <c r="I20" s="117"/>
      <c r="J20" s="117"/>
      <c r="K20" s="47"/>
      <c r="L20" s="11"/>
      <c r="M20" s="11"/>
      <c r="N20" s="11"/>
      <c r="O20" s="11"/>
      <c r="P20" s="11"/>
      <c r="Q20" s="11"/>
      <c r="R20" s="11"/>
      <c r="S20" s="11"/>
      <c r="T20" s="11"/>
    </row>
    <row r="21" spans="1:20" s="155" customFormat="1" ht="14.25">
      <c r="A21" s="59" t="s">
        <v>445</v>
      </c>
      <c r="B21" s="170">
        <v>6430</v>
      </c>
      <c r="C21" s="232" t="s">
        <v>341</v>
      </c>
      <c r="D21" s="165" t="s">
        <v>47</v>
      </c>
      <c r="E21" s="117">
        <v>83.6</v>
      </c>
      <c r="F21" s="117"/>
      <c r="G21" s="117"/>
      <c r="H21" s="117"/>
      <c r="I21" s="117"/>
      <c r="J21" s="117"/>
      <c r="K21" s="47"/>
      <c r="L21" s="114"/>
      <c r="M21" s="114"/>
      <c r="N21" s="114"/>
      <c r="O21" s="114"/>
      <c r="P21" s="114"/>
      <c r="Q21" s="114"/>
      <c r="R21" s="114"/>
      <c r="S21" s="114"/>
      <c r="T21" s="114"/>
    </row>
    <row r="22" spans="1:20">
      <c r="A22" s="562" t="s">
        <v>16</v>
      </c>
      <c r="B22" s="562"/>
      <c r="C22" s="563"/>
      <c r="D22" s="563"/>
      <c r="E22" s="563"/>
      <c r="F22" s="563"/>
      <c r="G22" s="563"/>
      <c r="H22" s="563"/>
      <c r="I22" s="563"/>
      <c r="J22" s="22"/>
      <c r="K22" s="39"/>
      <c r="L22" s="11"/>
      <c r="M22" s="11"/>
      <c r="N22" s="11"/>
      <c r="O22" s="11"/>
      <c r="P22" s="11"/>
      <c r="Q22" s="11"/>
      <c r="R22" s="11"/>
      <c r="S22" s="11"/>
      <c r="T22" s="11"/>
    </row>
    <row r="23" spans="1:20">
      <c r="A23" s="60" t="s">
        <v>105</v>
      </c>
      <c r="B23" s="458" t="s">
        <v>106</v>
      </c>
      <c r="C23" s="459"/>
      <c r="D23" s="459"/>
      <c r="E23" s="459"/>
      <c r="F23" s="459"/>
      <c r="G23" s="459"/>
      <c r="H23" s="459"/>
      <c r="I23" s="459"/>
      <c r="J23" s="459"/>
      <c r="K23" s="473"/>
      <c r="L23" s="11"/>
      <c r="M23" s="11"/>
      <c r="N23" s="11"/>
      <c r="O23" s="11"/>
      <c r="P23" s="11"/>
      <c r="Q23" s="11"/>
      <c r="R23" s="11"/>
      <c r="S23" s="11"/>
      <c r="T23" s="11"/>
    </row>
    <row r="24" spans="1:20" s="53" customFormat="1">
      <c r="A24" s="48" t="s">
        <v>12</v>
      </c>
      <c r="B24" s="48"/>
      <c r="C24" s="234" t="s">
        <v>287</v>
      </c>
      <c r="D24" s="173" t="s">
        <v>29</v>
      </c>
      <c r="E24" s="172">
        <v>354.3</v>
      </c>
      <c r="F24" s="172"/>
      <c r="G24" s="172"/>
      <c r="H24" s="172"/>
      <c r="I24" s="172"/>
      <c r="J24" s="172"/>
      <c r="K24" s="172"/>
      <c r="L24" s="11"/>
      <c r="M24" s="11"/>
      <c r="N24" s="11"/>
      <c r="O24" s="11"/>
      <c r="P24" s="11"/>
      <c r="Q24" s="11"/>
      <c r="R24" s="11"/>
      <c r="S24" s="11"/>
      <c r="T24" s="11"/>
    </row>
    <row r="25" spans="1:20" s="53" customFormat="1">
      <c r="A25" s="48" t="s">
        <v>13</v>
      </c>
      <c r="B25" s="125" t="s">
        <v>904</v>
      </c>
      <c r="C25" s="234" t="s">
        <v>871</v>
      </c>
      <c r="D25" s="173" t="s">
        <v>47</v>
      </c>
      <c r="E25" s="172">
        <v>18.3</v>
      </c>
      <c r="F25" s="172"/>
      <c r="G25" s="172"/>
      <c r="H25" s="172"/>
      <c r="I25" s="172"/>
      <c r="J25" s="172"/>
      <c r="K25" s="172"/>
      <c r="L25" s="11"/>
      <c r="M25" s="11"/>
      <c r="N25" s="11"/>
      <c r="O25" s="11"/>
      <c r="P25" s="11"/>
      <c r="Q25" s="11"/>
      <c r="R25" s="11"/>
      <c r="S25" s="11"/>
      <c r="T25" s="11"/>
    </row>
    <row r="26" spans="1:20" s="53" customFormat="1">
      <c r="A26" s="48" t="s">
        <v>285</v>
      </c>
      <c r="B26" s="125" t="s">
        <v>905</v>
      </c>
      <c r="C26" s="234" t="s">
        <v>872</v>
      </c>
      <c r="D26" s="173" t="s">
        <v>47</v>
      </c>
      <c r="E26" s="172">
        <v>18.3</v>
      </c>
      <c r="F26" s="172"/>
      <c r="G26" s="172"/>
      <c r="H26" s="172"/>
      <c r="I26" s="172"/>
      <c r="J26" s="172"/>
      <c r="K26" s="172"/>
      <c r="L26" s="11"/>
      <c r="M26" s="11"/>
      <c r="N26" s="11"/>
      <c r="O26" s="11"/>
      <c r="P26" s="11"/>
      <c r="Q26" s="11"/>
      <c r="R26" s="11"/>
      <c r="S26" s="11"/>
      <c r="T26" s="11"/>
    </row>
    <row r="27" spans="1:20" s="53" customFormat="1">
      <c r="A27" s="48" t="s">
        <v>286</v>
      </c>
      <c r="B27" s="125"/>
      <c r="C27" s="234" t="s">
        <v>873</v>
      </c>
      <c r="D27" s="173" t="s">
        <v>47</v>
      </c>
      <c r="E27" s="172">
        <v>4.26</v>
      </c>
      <c r="F27" s="172"/>
      <c r="G27" s="172"/>
      <c r="H27" s="172"/>
      <c r="I27" s="172"/>
      <c r="J27" s="172"/>
      <c r="K27" s="172"/>
      <c r="L27" s="11"/>
      <c r="M27" s="11"/>
      <c r="N27" s="11"/>
      <c r="O27" s="11"/>
      <c r="P27" s="11"/>
      <c r="Q27" s="11"/>
      <c r="R27" s="11"/>
      <c r="S27" s="11"/>
      <c r="T27" s="11"/>
    </row>
    <row r="28" spans="1:20" s="53" customFormat="1">
      <c r="A28" s="48" t="s">
        <v>288</v>
      </c>
      <c r="B28" s="125"/>
      <c r="C28" s="234" t="s">
        <v>874</v>
      </c>
      <c r="D28" s="173" t="s">
        <v>47</v>
      </c>
      <c r="E28" s="172">
        <v>34.520000000000003</v>
      </c>
      <c r="F28" s="172"/>
      <c r="G28" s="172"/>
      <c r="H28" s="172"/>
      <c r="I28" s="172"/>
      <c r="J28" s="172"/>
      <c r="K28" s="172"/>
      <c r="L28" s="11"/>
      <c r="M28" s="11"/>
      <c r="N28" s="11"/>
      <c r="O28" s="11"/>
      <c r="P28" s="11"/>
      <c r="Q28" s="11"/>
      <c r="R28" s="11"/>
      <c r="S28" s="11"/>
      <c r="T28" s="11"/>
    </row>
    <row r="29" spans="1:20" s="53" customFormat="1">
      <c r="A29" s="48" t="s">
        <v>450</v>
      </c>
      <c r="B29" s="125" t="s">
        <v>905</v>
      </c>
      <c r="C29" s="234" t="s">
        <v>875</v>
      </c>
      <c r="D29" s="173" t="s">
        <v>47</v>
      </c>
      <c r="E29" s="172">
        <v>34.520000000000003</v>
      </c>
      <c r="F29" s="172"/>
      <c r="G29" s="172"/>
      <c r="H29" s="172"/>
      <c r="I29" s="172"/>
      <c r="J29" s="172"/>
      <c r="K29" s="172"/>
      <c r="L29" s="11"/>
      <c r="M29" s="11"/>
      <c r="N29" s="11"/>
      <c r="O29" s="11"/>
      <c r="P29" s="11"/>
      <c r="Q29" s="11"/>
      <c r="R29" s="11"/>
      <c r="S29" s="11"/>
      <c r="T29" s="11"/>
    </row>
    <row r="30" spans="1:20" s="53" customFormat="1">
      <c r="A30" s="48" t="s">
        <v>451</v>
      </c>
      <c r="B30" s="125"/>
      <c r="C30" s="234" t="s">
        <v>876</v>
      </c>
      <c r="D30" s="173" t="s">
        <v>29</v>
      </c>
      <c r="E30" s="172">
        <v>55.6</v>
      </c>
      <c r="F30" s="172"/>
      <c r="G30" s="172"/>
      <c r="H30" s="172"/>
      <c r="I30" s="172"/>
      <c r="J30" s="172"/>
      <c r="K30" s="172"/>
      <c r="L30" s="11"/>
      <c r="M30" s="11"/>
      <c r="N30" s="11"/>
      <c r="O30" s="11"/>
      <c r="P30" s="11"/>
      <c r="Q30" s="11"/>
      <c r="R30" s="11"/>
      <c r="S30" s="11"/>
      <c r="T30" s="11"/>
    </row>
    <row r="31" spans="1:20" s="53" customFormat="1" ht="24">
      <c r="A31" s="48" t="s">
        <v>452</v>
      </c>
      <c r="B31" s="415" t="s">
        <v>907</v>
      </c>
      <c r="C31" s="416" t="s">
        <v>877</v>
      </c>
      <c r="D31" s="173" t="s">
        <v>890</v>
      </c>
      <c r="E31" s="172">
        <v>614.29999999999995</v>
      </c>
      <c r="F31" s="172"/>
      <c r="G31" s="172"/>
      <c r="H31" s="172"/>
      <c r="I31" s="172"/>
      <c r="J31" s="172"/>
      <c r="K31" s="172"/>
      <c r="L31" s="11"/>
      <c r="M31" s="11"/>
      <c r="N31" s="11"/>
      <c r="O31" s="11"/>
      <c r="P31" s="11"/>
      <c r="Q31" s="11"/>
      <c r="R31" s="11"/>
      <c r="S31" s="11"/>
      <c r="T31" s="11"/>
    </row>
    <row r="32" spans="1:20">
      <c r="A32" s="479" t="s">
        <v>17</v>
      </c>
      <c r="B32" s="480"/>
      <c r="C32" s="480"/>
      <c r="D32" s="480"/>
      <c r="E32" s="480"/>
      <c r="F32" s="480"/>
      <c r="G32" s="480"/>
      <c r="H32" s="480"/>
      <c r="I32" s="481"/>
      <c r="J32" s="22"/>
      <c r="K32" s="22"/>
      <c r="L32" s="77"/>
      <c r="M32" s="11"/>
      <c r="N32" s="11"/>
      <c r="O32" s="11"/>
      <c r="P32" s="11"/>
      <c r="Q32" s="11"/>
      <c r="R32" s="11"/>
      <c r="S32" s="11"/>
      <c r="T32" s="11"/>
    </row>
    <row r="33" spans="1:22" s="74" customFormat="1">
      <c r="A33" s="70" t="s">
        <v>33</v>
      </c>
      <c r="B33" s="477" t="s">
        <v>107</v>
      </c>
      <c r="C33" s="478"/>
      <c r="D33" s="478"/>
      <c r="E33" s="478"/>
      <c r="F33" s="478"/>
      <c r="G33" s="478"/>
      <c r="H33" s="478"/>
      <c r="I33" s="478"/>
      <c r="J33" s="478"/>
      <c r="K33" s="478"/>
      <c r="L33" s="78"/>
      <c r="M33" s="73"/>
      <c r="N33" s="73"/>
      <c r="O33" s="73"/>
      <c r="P33" s="73"/>
      <c r="Q33" s="73"/>
      <c r="R33" s="73"/>
      <c r="S33" s="73"/>
      <c r="T33" s="73"/>
      <c r="U33" s="73"/>
      <c r="V33" s="73"/>
    </row>
    <row r="34" spans="1:22" s="419" customFormat="1">
      <c r="A34" s="414" t="s">
        <v>34</v>
      </c>
      <c r="B34" s="414"/>
      <c r="C34" s="333" t="s">
        <v>844</v>
      </c>
      <c r="D34" s="334" t="s">
        <v>47</v>
      </c>
      <c r="E34" s="417">
        <v>3.9</v>
      </c>
      <c r="F34" s="408"/>
      <c r="G34" s="408"/>
      <c r="H34" s="408"/>
      <c r="I34" s="408"/>
      <c r="J34" s="408"/>
      <c r="K34" s="417"/>
      <c r="L34" s="411"/>
      <c r="M34" s="398"/>
      <c r="N34" s="398"/>
      <c r="O34" s="398"/>
      <c r="P34" s="398"/>
      <c r="Q34" s="398"/>
      <c r="R34" s="398"/>
      <c r="S34" s="398"/>
      <c r="T34" s="398"/>
      <c r="U34" s="398"/>
      <c r="V34" s="398"/>
    </row>
    <row r="35" spans="1:22" s="419" customFormat="1">
      <c r="A35" s="414" t="s">
        <v>108</v>
      </c>
      <c r="B35" s="414"/>
      <c r="C35" s="333" t="s">
        <v>835</v>
      </c>
      <c r="D35" s="334" t="s">
        <v>29</v>
      </c>
      <c r="E35" s="417">
        <f>E172</f>
        <v>306.19000000000005</v>
      </c>
      <c r="F35" s="408"/>
      <c r="G35" s="408"/>
      <c r="H35" s="408"/>
      <c r="I35" s="408"/>
      <c r="J35" s="408"/>
      <c r="K35" s="417"/>
      <c r="L35" s="411"/>
      <c r="M35" s="398"/>
      <c r="N35" s="398"/>
      <c r="O35" s="398"/>
      <c r="P35" s="398"/>
      <c r="Q35" s="398"/>
      <c r="R35" s="398"/>
      <c r="S35" s="398"/>
      <c r="T35" s="398"/>
      <c r="U35" s="398"/>
      <c r="V35" s="398"/>
    </row>
    <row r="36" spans="1:22" s="419" customFormat="1" ht="24.75">
      <c r="A36" s="414" t="s">
        <v>35</v>
      </c>
      <c r="B36" s="414"/>
      <c r="C36" s="418" t="s">
        <v>878</v>
      </c>
      <c r="D36" s="334" t="s">
        <v>29</v>
      </c>
      <c r="E36" s="417">
        <v>181.1</v>
      </c>
      <c r="F36" s="408"/>
      <c r="G36" s="408"/>
      <c r="H36" s="408"/>
      <c r="I36" s="408"/>
      <c r="J36" s="409"/>
      <c r="K36" s="410"/>
      <c r="L36" s="411"/>
      <c r="M36" s="398"/>
      <c r="N36" s="398"/>
      <c r="O36" s="398"/>
      <c r="P36" s="398"/>
      <c r="Q36" s="398"/>
      <c r="R36" s="398"/>
      <c r="S36" s="398"/>
      <c r="T36" s="398"/>
      <c r="U36" s="398"/>
      <c r="V36" s="398"/>
    </row>
    <row r="37" spans="1:22" s="81" customFormat="1" ht="24.75">
      <c r="A37" s="414" t="s">
        <v>36</v>
      </c>
      <c r="B37" s="414"/>
      <c r="C37" s="418" t="s">
        <v>879</v>
      </c>
      <c r="D37" s="334" t="s">
        <v>29</v>
      </c>
      <c r="E37" s="417">
        <v>555.6</v>
      </c>
      <c r="F37" s="408"/>
      <c r="G37" s="408"/>
      <c r="H37" s="408"/>
      <c r="I37" s="408"/>
      <c r="J37" s="409"/>
      <c r="K37" s="410"/>
      <c r="L37" s="78"/>
      <c r="M37" s="73"/>
      <c r="N37" s="73"/>
      <c r="O37" s="73"/>
      <c r="P37" s="73"/>
      <c r="Q37" s="73"/>
      <c r="R37" s="73"/>
      <c r="S37" s="73"/>
      <c r="T37" s="73"/>
      <c r="U37" s="73"/>
      <c r="V37" s="73"/>
    </row>
    <row r="38" spans="1:22" s="81" customFormat="1">
      <c r="A38" s="414" t="s">
        <v>37</v>
      </c>
      <c r="B38" s="125" t="s">
        <v>904</v>
      </c>
      <c r="C38" s="333" t="s">
        <v>880</v>
      </c>
      <c r="D38" s="334" t="s">
        <v>47</v>
      </c>
      <c r="E38" s="417">
        <v>20.3</v>
      </c>
      <c r="F38" s="408"/>
      <c r="G38" s="408"/>
      <c r="H38" s="408"/>
      <c r="I38" s="408"/>
      <c r="J38" s="409"/>
      <c r="K38" s="410"/>
      <c r="L38" s="78"/>
      <c r="M38" s="73"/>
      <c r="N38" s="73"/>
      <c r="O38" s="73"/>
      <c r="P38" s="73"/>
      <c r="Q38" s="73"/>
      <c r="R38" s="73"/>
      <c r="S38" s="73"/>
      <c r="T38" s="73"/>
      <c r="U38" s="73"/>
      <c r="V38" s="73"/>
    </row>
    <row r="39" spans="1:22" s="81" customFormat="1">
      <c r="A39" s="414" t="s">
        <v>454</v>
      </c>
      <c r="B39" s="125"/>
      <c r="C39" s="333" t="s">
        <v>910</v>
      </c>
      <c r="D39" s="334" t="s">
        <v>47</v>
      </c>
      <c r="E39" s="417">
        <v>14.4</v>
      </c>
      <c r="F39" s="408"/>
      <c r="G39" s="408"/>
      <c r="H39" s="408"/>
      <c r="I39" s="408"/>
      <c r="J39" s="409"/>
      <c r="K39" s="410"/>
      <c r="L39" s="78"/>
      <c r="M39" s="73"/>
      <c r="N39" s="73"/>
      <c r="O39" s="73"/>
      <c r="P39" s="73"/>
      <c r="Q39" s="73"/>
      <c r="R39" s="73"/>
      <c r="S39" s="73"/>
      <c r="T39" s="73"/>
      <c r="U39" s="73"/>
      <c r="V39" s="73"/>
    </row>
    <row r="40" spans="1:22" s="81" customFormat="1">
      <c r="A40" s="414" t="s">
        <v>455</v>
      </c>
      <c r="B40" s="414" t="s">
        <v>906</v>
      </c>
      <c r="C40" s="333" t="s">
        <v>881</v>
      </c>
      <c r="D40" s="334" t="s">
        <v>47</v>
      </c>
      <c r="E40" s="417">
        <v>14.4</v>
      </c>
      <c r="F40" s="408"/>
      <c r="G40" s="408"/>
      <c r="H40" s="408"/>
      <c r="I40" s="408"/>
      <c r="J40" s="409"/>
      <c r="K40" s="410"/>
      <c r="L40" s="78"/>
      <c r="M40" s="73"/>
      <c r="N40" s="73"/>
      <c r="O40" s="73"/>
      <c r="P40" s="73"/>
      <c r="Q40" s="73"/>
      <c r="R40" s="73"/>
      <c r="S40" s="73"/>
      <c r="T40" s="73"/>
      <c r="U40" s="73"/>
      <c r="V40" s="73"/>
    </row>
    <row r="41" spans="1:22" s="81" customFormat="1">
      <c r="A41" s="414" t="s">
        <v>456</v>
      </c>
      <c r="B41" s="125" t="s">
        <v>904</v>
      </c>
      <c r="C41" s="333" t="s">
        <v>882</v>
      </c>
      <c r="D41" s="334" t="s">
        <v>47</v>
      </c>
      <c r="E41" s="417">
        <v>4.4000000000000004</v>
      </c>
      <c r="F41" s="408"/>
      <c r="G41" s="408"/>
      <c r="H41" s="408"/>
      <c r="I41" s="408"/>
      <c r="J41" s="409"/>
      <c r="K41" s="410"/>
      <c r="L41" s="78"/>
      <c r="M41" s="73"/>
      <c r="N41" s="73"/>
      <c r="O41" s="73"/>
      <c r="P41" s="73"/>
      <c r="Q41" s="73"/>
      <c r="R41" s="73"/>
      <c r="S41" s="73"/>
      <c r="T41" s="73"/>
      <c r="U41" s="73"/>
      <c r="V41" s="73"/>
    </row>
    <row r="42" spans="1:22" s="81" customFormat="1">
      <c r="A42" s="414" t="s">
        <v>557</v>
      </c>
      <c r="B42" s="125"/>
      <c r="C42" s="333" t="s">
        <v>909</v>
      </c>
      <c r="D42" s="334" t="s">
        <v>47</v>
      </c>
      <c r="E42" s="417">
        <v>6</v>
      </c>
      <c r="F42" s="408"/>
      <c r="G42" s="408"/>
      <c r="H42" s="408"/>
      <c r="I42" s="408"/>
      <c r="J42" s="409"/>
      <c r="K42" s="410"/>
      <c r="L42" s="78"/>
      <c r="M42" s="73"/>
      <c r="N42" s="73"/>
      <c r="O42" s="73"/>
      <c r="P42" s="73"/>
      <c r="Q42" s="73"/>
      <c r="R42" s="73"/>
      <c r="S42" s="73"/>
      <c r="T42" s="73"/>
      <c r="U42" s="73"/>
      <c r="V42" s="73"/>
    </row>
    <row r="43" spans="1:22" s="81" customFormat="1">
      <c r="A43" s="414" t="s">
        <v>558</v>
      </c>
      <c r="B43" s="414" t="s">
        <v>906</v>
      </c>
      <c r="C43" s="333" t="s">
        <v>883</v>
      </c>
      <c r="D43" s="334" t="s">
        <v>47</v>
      </c>
      <c r="E43" s="417">
        <v>6</v>
      </c>
      <c r="F43" s="408"/>
      <c r="G43" s="408"/>
      <c r="H43" s="408"/>
      <c r="I43" s="408"/>
      <c r="J43" s="409"/>
      <c r="K43" s="410"/>
      <c r="L43" s="78"/>
      <c r="M43" s="73"/>
      <c r="N43" s="73"/>
      <c r="O43" s="73"/>
      <c r="P43" s="73"/>
      <c r="Q43" s="73"/>
      <c r="R43" s="73"/>
      <c r="S43" s="73"/>
      <c r="T43" s="73"/>
      <c r="U43" s="73"/>
      <c r="V43" s="73"/>
    </row>
    <row r="44" spans="1:22" s="81" customFormat="1" ht="24">
      <c r="A44" s="414" t="s">
        <v>893</v>
      </c>
      <c r="B44" s="415" t="s">
        <v>907</v>
      </c>
      <c r="C44" s="333" t="s">
        <v>884</v>
      </c>
      <c r="D44" s="334" t="s">
        <v>890</v>
      </c>
      <c r="E44" s="417">
        <v>954.4</v>
      </c>
      <c r="F44" s="408"/>
      <c r="G44" s="408"/>
      <c r="H44" s="408"/>
      <c r="I44" s="408"/>
      <c r="J44" s="409"/>
      <c r="K44" s="410"/>
      <c r="L44" s="78"/>
      <c r="M44" s="73"/>
      <c r="N44" s="73"/>
      <c r="O44" s="73"/>
      <c r="P44" s="73"/>
      <c r="Q44" s="73"/>
      <c r="R44" s="73"/>
      <c r="S44" s="73"/>
      <c r="T44" s="73"/>
      <c r="U44" s="73"/>
      <c r="V44" s="73"/>
    </row>
    <row r="45" spans="1:22" s="81" customFormat="1">
      <c r="A45" s="414" t="s">
        <v>894</v>
      </c>
      <c r="B45" s="125" t="s">
        <v>832</v>
      </c>
      <c r="C45" s="333" t="s">
        <v>885</v>
      </c>
      <c r="D45" s="334" t="s">
        <v>890</v>
      </c>
      <c r="E45" s="417">
        <v>256.60000000000002</v>
      </c>
      <c r="F45" s="408"/>
      <c r="G45" s="408"/>
      <c r="H45" s="408"/>
      <c r="I45" s="408"/>
      <c r="J45" s="409"/>
      <c r="K45" s="410"/>
      <c r="L45" s="78"/>
      <c r="M45" s="73"/>
      <c r="N45" s="73"/>
      <c r="O45" s="73"/>
      <c r="P45" s="73"/>
      <c r="Q45" s="73"/>
      <c r="R45" s="73"/>
      <c r="S45" s="73"/>
      <c r="T45" s="73"/>
      <c r="U45" s="73"/>
      <c r="V45" s="73"/>
    </row>
    <row r="46" spans="1:22" s="81" customFormat="1" ht="24">
      <c r="A46" s="414" t="s">
        <v>895</v>
      </c>
      <c r="B46" s="415" t="s">
        <v>907</v>
      </c>
      <c r="C46" s="333" t="s">
        <v>886</v>
      </c>
      <c r="D46" s="334" t="s">
        <v>890</v>
      </c>
      <c r="E46" s="417">
        <v>1715.1</v>
      </c>
      <c r="F46" s="408"/>
      <c r="G46" s="408"/>
      <c r="H46" s="408"/>
      <c r="I46" s="408"/>
      <c r="J46" s="409"/>
      <c r="K46" s="410"/>
      <c r="L46" s="78"/>
      <c r="M46" s="73"/>
      <c r="N46" s="73"/>
      <c r="O46" s="73"/>
      <c r="P46" s="73"/>
      <c r="Q46" s="73"/>
      <c r="R46" s="73"/>
      <c r="S46" s="73"/>
      <c r="T46" s="73"/>
      <c r="U46" s="73"/>
      <c r="V46" s="73"/>
    </row>
    <row r="47" spans="1:22" s="81" customFormat="1">
      <c r="A47" s="414" t="s">
        <v>896</v>
      </c>
      <c r="B47" s="125" t="s">
        <v>832</v>
      </c>
      <c r="C47" s="333" t="s">
        <v>887</v>
      </c>
      <c r="D47" s="334" t="s">
        <v>890</v>
      </c>
      <c r="E47" s="417">
        <v>561.4</v>
      </c>
      <c r="F47" s="408"/>
      <c r="G47" s="408"/>
      <c r="H47" s="408"/>
      <c r="I47" s="408"/>
      <c r="J47" s="409"/>
      <c r="K47" s="410"/>
      <c r="L47" s="78"/>
      <c r="M47" s="73"/>
      <c r="N47" s="73"/>
      <c r="O47" s="73"/>
      <c r="P47" s="73"/>
      <c r="Q47" s="73"/>
      <c r="R47" s="73"/>
      <c r="S47" s="73"/>
      <c r="T47" s="73"/>
      <c r="U47" s="73"/>
      <c r="V47" s="73"/>
    </row>
    <row r="48" spans="1:22" s="81" customFormat="1">
      <c r="A48" s="414" t="s">
        <v>897</v>
      </c>
      <c r="B48" s="125" t="s">
        <v>904</v>
      </c>
      <c r="C48" s="333" t="s">
        <v>912</v>
      </c>
      <c r="D48" s="334" t="s">
        <v>47</v>
      </c>
      <c r="E48" s="417">
        <v>37.5</v>
      </c>
      <c r="F48" s="408"/>
      <c r="G48" s="408"/>
      <c r="H48" s="408"/>
      <c r="I48" s="408"/>
      <c r="J48" s="409"/>
      <c r="K48" s="410"/>
      <c r="L48" s="78"/>
      <c r="M48" s="73"/>
      <c r="N48" s="73"/>
      <c r="O48" s="73"/>
      <c r="P48" s="73"/>
      <c r="Q48" s="73"/>
      <c r="R48" s="73"/>
      <c r="S48" s="73"/>
      <c r="T48" s="73"/>
      <c r="U48" s="73"/>
      <c r="V48" s="73"/>
    </row>
    <row r="49" spans="1:22" s="81" customFormat="1">
      <c r="A49" s="414" t="s">
        <v>898</v>
      </c>
      <c r="B49" s="414" t="s">
        <v>906</v>
      </c>
      <c r="C49" s="333" t="s">
        <v>888</v>
      </c>
      <c r="D49" s="334" t="s">
        <v>47</v>
      </c>
      <c r="E49" s="417">
        <v>37.5</v>
      </c>
      <c r="F49" s="408"/>
      <c r="G49" s="408"/>
      <c r="H49" s="408"/>
      <c r="I49" s="408"/>
      <c r="J49" s="409"/>
      <c r="K49" s="410"/>
      <c r="L49" s="78"/>
      <c r="M49" s="73"/>
      <c r="N49" s="73"/>
      <c r="O49" s="73"/>
      <c r="P49" s="73"/>
      <c r="Q49" s="73"/>
      <c r="R49" s="73"/>
      <c r="S49" s="73"/>
      <c r="T49" s="73"/>
      <c r="U49" s="73"/>
      <c r="V49" s="73"/>
    </row>
    <row r="50" spans="1:22" s="81" customFormat="1" ht="24.75">
      <c r="A50" s="414" t="s">
        <v>899</v>
      </c>
      <c r="B50" s="414"/>
      <c r="C50" s="418" t="s">
        <v>928</v>
      </c>
      <c r="D50" s="334" t="s">
        <v>29</v>
      </c>
      <c r="E50" s="417">
        <v>288.7</v>
      </c>
      <c r="F50" s="408"/>
      <c r="G50" s="408"/>
      <c r="H50" s="408"/>
      <c r="I50" s="408"/>
      <c r="J50" s="409"/>
      <c r="K50" s="410"/>
      <c r="L50" s="78"/>
      <c r="M50" s="73"/>
      <c r="N50" s="73"/>
      <c r="O50" s="73"/>
      <c r="P50" s="73"/>
      <c r="Q50" s="73"/>
      <c r="R50" s="73"/>
      <c r="S50" s="73"/>
      <c r="T50" s="73"/>
      <c r="U50" s="73"/>
      <c r="V50" s="73"/>
    </row>
    <row r="51" spans="1:22" s="81" customFormat="1" ht="24">
      <c r="A51" s="414" t="s">
        <v>900</v>
      </c>
      <c r="B51" s="415" t="s">
        <v>907</v>
      </c>
      <c r="C51" s="333" t="s">
        <v>921</v>
      </c>
      <c r="D51" s="334" t="s">
        <v>890</v>
      </c>
      <c r="E51" s="417">
        <v>1927.2</v>
      </c>
      <c r="F51" s="408"/>
      <c r="G51" s="408"/>
      <c r="H51" s="408"/>
      <c r="I51" s="408"/>
      <c r="J51" s="409"/>
      <c r="K51" s="410"/>
      <c r="L51" s="78"/>
      <c r="M51" s="73"/>
      <c r="N51" s="73"/>
      <c r="O51" s="73"/>
      <c r="P51" s="73"/>
      <c r="Q51" s="73"/>
      <c r="R51" s="73"/>
      <c r="S51" s="73"/>
      <c r="T51" s="73"/>
      <c r="U51" s="73"/>
      <c r="V51" s="73"/>
    </row>
    <row r="52" spans="1:22" s="81" customFormat="1">
      <c r="A52" s="414" t="s">
        <v>901</v>
      </c>
      <c r="B52" s="125" t="s">
        <v>832</v>
      </c>
      <c r="C52" s="333" t="s">
        <v>922</v>
      </c>
      <c r="D52" s="334" t="s">
        <v>890</v>
      </c>
      <c r="E52" s="417">
        <v>18.2</v>
      </c>
      <c r="F52" s="408"/>
      <c r="G52" s="408"/>
      <c r="H52" s="408"/>
      <c r="I52" s="408"/>
      <c r="J52" s="409"/>
      <c r="K52" s="410"/>
      <c r="L52" s="78"/>
      <c r="M52" s="73"/>
      <c r="N52" s="73"/>
      <c r="O52" s="73"/>
      <c r="P52" s="73"/>
      <c r="Q52" s="73"/>
      <c r="R52" s="73"/>
      <c r="S52" s="73"/>
      <c r="T52" s="73"/>
      <c r="U52" s="73"/>
      <c r="V52" s="73"/>
    </row>
    <row r="53" spans="1:22" s="74" customFormat="1">
      <c r="A53" s="496" t="s">
        <v>18</v>
      </c>
      <c r="B53" s="496"/>
      <c r="C53" s="497"/>
      <c r="D53" s="497"/>
      <c r="E53" s="497"/>
      <c r="F53" s="497"/>
      <c r="G53" s="497"/>
      <c r="H53" s="497"/>
      <c r="I53" s="497"/>
      <c r="J53" s="22"/>
      <c r="K53" s="22"/>
      <c r="L53" s="79"/>
      <c r="M53" s="73"/>
      <c r="N53" s="73"/>
      <c r="O53" s="73"/>
      <c r="P53" s="73"/>
      <c r="Q53" s="73"/>
      <c r="R53" s="73"/>
      <c r="S53" s="73"/>
      <c r="T53" s="73"/>
      <c r="U53" s="73"/>
      <c r="V53" s="73"/>
    </row>
    <row r="54" spans="1:22" s="81" customFormat="1">
      <c r="A54" s="80" t="s">
        <v>38</v>
      </c>
      <c r="B54" s="456" t="s">
        <v>180</v>
      </c>
      <c r="C54" s="457"/>
      <c r="D54" s="457"/>
      <c r="E54" s="457"/>
      <c r="F54" s="457"/>
      <c r="G54" s="457"/>
      <c r="H54" s="457"/>
      <c r="I54" s="457"/>
      <c r="J54" s="457"/>
      <c r="K54" s="485"/>
      <c r="L54" s="78"/>
      <c r="M54" s="73"/>
      <c r="N54" s="73"/>
      <c r="O54" s="73"/>
      <c r="P54" s="73"/>
      <c r="Q54" s="73"/>
      <c r="R54" s="73"/>
      <c r="S54" s="73"/>
      <c r="T54" s="73"/>
      <c r="U54" s="73"/>
      <c r="V54" s="73"/>
    </row>
    <row r="55" spans="1:22" s="53" customFormat="1" ht="24.75">
      <c r="A55" s="48" t="s">
        <v>39</v>
      </c>
      <c r="B55" s="195" t="s">
        <v>181</v>
      </c>
      <c r="C55" s="58" t="s">
        <v>182</v>
      </c>
      <c r="D55" s="50" t="s">
        <v>29</v>
      </c>
      <c r="E55" s="49">
        <f>(12*5.65*1.4)+(16*5.3*1.4)+(4*0.8*1.4)+(2*7.6*2.85)+(6*1.75*2.85)+(1*3)+(0.5*2.5)+(2*2.95*1.2)+(3.2*2.85)+(8*0.65)+(2*0.85*8.7)+(2*1.45*20)+(2*0.85*10.65)+(1.98*6)</f>
        <v>419.79</v>
      </c>
      <c r="F55" s="47"/>
      <c r="G55" s="47"/>
      <c r="H55" s="47"/>
      <c r="I55" s="47"/>
      <c r="J55" s="47"/>
      <c r="K55" s="82"/>
      <c r="L55" s="77"/>
      <c r="M55" s="11"/>
      <c r="N55" s="11"/>
      <c r="O55" s="11"/>
      <c r="P55" s="11"/>
      <c r="Q55" s="11"/>
      <c r="R55" s="11"/>
      <c r="S55" s="11"/>
      <c r="T55" s="11"/>
    </row>
    <row r="56" spans="1:22" s="53" customFormat="1" ht="24.75">
      <c r="A56" s="48" t="s">
        <v>40</v>
      </c>
      <c r="B56" s="195" t="s">
        <v>183</v>
      </c>
      <c r="C56" s="58" t="s">
        <v>184</v>
      </c>
      <c r="D56" s="50" t="s">
        <v>29</v>
      </c>
      <c r="E56" s="49">
        <f>(2*47.3*2.85)+(4*5.65*1.6)+(2*1.95*1.6)+(3*1.4)</f>
        <v>316.21000000000004</v>
      </c>
      <c r="F56" s="47"/>
      <c r="G56" s="47"/>
      <c r="H56" s="47"/>
      <c r="I56" s="47"/>
      <c r="J56" s="47"/>
      <c r="K56" s="47"/>
      <c r="L56" s="11"/>
      <c r="M56" s="11"/>
      <c r="N56" s="11"/>
      <c r="O56" s="11"/>
      <c r="P56" s="11"/>
      <c r="Q56" s="11"/>
      <c r="R56" s="11"/>
      <c r="S56" s="11"/>
      <c r="T56" s="11"/>
    </row>
    <row r="57" spans="1:22" s="53" customFormat="1" ht="24.75">
      <c r="A57" s="48" t="s">
        <v>41</v>
      </c>
      <c r="B57" s="180">
        <v>72131</v>
      </c>
      <c r="C57" s="167" t="s">
        <v>512</v>
      </c>
      <c r="D57" s="165" t="s">
        <v>29</v>
      </c>
      <c r="E57" s="117">
        <f>2*0.9</f>
        <v>1.8</v>
      </c>
      <c r="F57" s="117"/>
      <c r="G57" s="117"/>
      <c r="H57" s="117"/>
      <c r="I57" s="117"/>
      <c r="J57" s="117"/>
      <c r="K57" s="47"/>
      <c r="L57" s="11"/>
      <c r="M57" s="11"/>
      <c r="N57" s="11"/>
      <c r="O57" s="11"/>
      <c r="P57" s="11"/>
      <c r="Q57" s="11"/>
      <c r="R57" s="11"/>
      <c r="S57" s="11"/>
      <c r="T57" s="11"/>
    </row>
    <row r="58" spans="1:22" s="53" customFormat="1">
      <c r="A58" s="48" t="s">
        <v>42</v>
      </c>
      <c r="B58" s="195" t="s">
        <v>263</v>
      </c>
      <c r="C58" s="58" t="s">
        <v>737</v>
      </c>
      <c r="D58" s="50" t="s">
        <v>28</v>
      </c>
      <c r="E58" s="47">
        <f>2.5*16</f>
        <v>40</v>
      </c>
      <c r="F58" s="47"/>
      <c r="G58" s="47"/>
      <c r="H58" s="47"/>
      <c r="I58" s="47"/>
      <c r="J58" s="47"/>
      <c r="K58" s="47"/>
      <c r="L58" s="11"/>
      <c r="M58" s="11"/>
      <c r="N58" s="11"/>
      <c r="O58" s="11"/>
      <c r="P58" s="11"/>
      <c r="Q58" s="11"/>
      <c r="R58" s="11"/>
      <c r="S58" s="11"/>
      <c r="T58" s="11"/>
    </row>
    <row r="59" spans="1:22" s="53" customFormat="1" ht="36.75">
      <c r="A59" s="48" t="s">
        <v>457</v>
      </c>
      <c r="B59" s="195" t="s">
        <v>185</v>
      </c>
      <c r="C59" s="58" t="s">
        <v>186</v>
      </c>
      <c r="D59" s="50" t="s">
        <v>47</v>
      </c>
      <c r="E59" s="47">
        <f>0.2*0.1*((5*1.4)+(2*2.4)+1.3+(16*1.4)+(2*4.1)+(2*2*2.1)+(2*8*1.1)+(2*2*1.1))</f>
        <v>1.4820000000000004</v>
      </c>
      <c r="F59" s="47"/>
      <c r="G59" s="47"/>
      <c r="H59" s="47"/>
      <c r="I59" s="47"/>
      <c r="J59" s="47"/>
      <c r="K59" s="47"/>
      <c r="L59" s="11"/>
      <c r="M59" s="11"/>
      <c r="N59" s="11"/>
      <c r="O59" s="11"/>
      <c r="P59" s="11"/>
      <c r="Q59" s="11"/>
      <c r="R59" s="11"/>
      <c r="S59" s="11"/>
      <c r="T59" s="11"/>
    </row>
    <row r="60" spans="1:22" s="74" customFormat="1">
      <c r="A60" s="496" t="s">
        <v>73</v>
      </c>
      <c r="B60" s="496"/>
      <c r="C60" s="497"/>
      <c r="D60" s="497"/>
      <c r="E60" s="497"/>
      <c r="F60" s="497"/>
      <c r="G60" s="497"/>
      <c r="H60" s="497"/>
      <c r="I60" s="497"/>
      <c r="J60" s="22"/>
      <c r="K60" s="22"/>
      <c r="L60" s="79"/>
      <c r="M60" s="73"/>
      <c r="N60" s="73"/>
      <c r="O60" s="73"/>
      <c r="P60" s="73"/>
      <c r="Q60" s="73"/>
      <c r="R60" s="73"/>
      <c r="S60" s="73"/>
      <c r="T60" s="73"/>
      <c r="U60" s="73"/>
      <c r="V60" s="73"/>
    </row>
    <row r="61" spans="1:22" s="53" customFormat="1" ht="15.75" customHeight="1">
      <c r="A61" s="60" t="s">
        <v>68</v>
      </c>
      <c r="B61" s="458" t="s">
        <v>104</v>
      </c>
      <c r="C61" s="459"/>
      <c r="D61" s="459"/>
      <c r="E61" s="459"/>
      <c r="F61" s="459"/>
      <c r="G61" s="459"/>
      <c r="H61" s="459"/>
      <c r="I61" s="459"/>
      <c r="J61" s="459"/>
      <c r="K61" s="473"/>
      <c r="L61" s="77"/>
      <c r="M61" s="11"/>
      <c r="N61" s="11"/>
      <c r="O61" s="11"/>
      <c r="P61" s="11"/>
      <c r="Q61" s="11"/>
      <c r="R61" s="11"/>
      <c r="S61" s="11"/>
      <c r="T61" s="11"/>
    </row>
    <row r="62" spans="1:22" s="53" customFormat="1" ht="15.75" customHeight="1">
      <c r="A62" s="198" t="s">
        <v>69</v>
      </c>
      <c r="B62" s="199" t="s">
        <v>191</v>
      </c>
      <c r="C62" s="49" t="s">
        <v>192</v>
      </c>
      <c r="D62" s="50" t="s">
        <v>29</v>
      </c>
      <c r="E62" s="54">
        <f>8.3*1.65</f>
        <v>13.695</v>
      </c>
      <c r="F62" s="54"/>
      <c r="G62" s="54"/>
      <c r="H62" s="54"/>
      <c r="I62" s="54"/>
      <c r="J62" s="54"/>
      <c r="K62" s="47"/>
      <c r="L62" s="11"/>
      <c r="M62" s="11"/>
      <c r="N62" s="11"/>
      <c r="O62" s="11"/>
      <c r="P62" s="11"/>
      <c r="Q62" s="11"/>
      <c r="R62" s="11"/>
      <c r="S62" s="11"/>
      <c r="T62" s="11"/>
    </row>
    <row r="63" spans="1:22" s="53" customFormat="1" ht="24.75">
      <c r="A63" s="198" t="s">
        <v>70</v>
      </c>
      <c r="B63" s="195" t="s">
        <v>264</v>
      </c>
      <c r="C63" s="58" t="s">
        <v>532</v>
      </c>
      <c r="D63" s="50" t="s">
        <v>27</v>
      </c>
      <c r="E63" s="289">
        <v>4</v>
      </c>
      <c r="F63" s="54"/>
      <c r="G63" s="54"/>
      <c r="H63" s="54"/>
      <c r="I63" s="54"/>
      <c r="J63" s="54"/>
      <c r="K63" s="47"/>
      <c r="L63" s="11"/>
      <c r="M63" s="11"/>
      <c r="N63" s="11"/>
      <c r="O63" s="11"/>
      <c r="P63" s="11"/>
      <c r="Q63" s="11"/>
      <c r="R63" s="11"/>
      <c r="S63" s="11"/>
      <c r="T63" s="11"/>
    </row>
    <row r="64" spans="1:22" s="53" customFormat="1">
      <c r="A64" s="198" t="s">
        <v>71</v>
      </c>
      <c r="B64" s="182" t="s">
        <v>535</v>
      </c>
      <c r="C64" s="164" t="s">
        <v>536</v>
      </c>
      <c r="D64" s="165" t="s">
        <v>27</v>
      </c>
      <c r="E64" s="54">
        <v>1</v>
      </c>
      <c r="F64" s="54"/>
      <c r="G64" s="54"/>
      <c r="H64" s="54"/>
      <c r="I64" s="54"/>
      <c r="J64" s="54"/>
      <c r="K64" s="47"/>
      <c r="L64" s="11"/>
      <c r="M64" s="11"/>
      <c r="N64" s="11"/>
      <c r="O64" s="11"/>
      <c r="P64" s="11"/>
      <c r="Q64" s="11"/>
      <c r="R64" s="11"/>
      <c r="S64" s="11"/>
      <c r="T64" s="11"/>
    </row>
    <row r="65" spans="1:22" s="53" customFormat="1" ht="24.75">
      <c r="A65" s="198" t="s">
        <v>72</v>
      </c>
      <c r="B65" s="195" t="s">
        <v>193</v>
      </c>
      <c r="C65" s="58" t="s">
        <v>194</v>
      </c>
      <c r="D65" s="50" t="s">
        <v>27</v>
      </c>
      <c r="E65" s="54">
        <v>5</v>
      </c>
      <c r="F65" s="54"/>
      <c r="G65" s="54"/>
      <c r="H65" s="54"/>
      <c r="I65" s="54"/>
      <c r="J65" s="54"/>
      <c r="K65" s="47"/>
      <c r="L65" s="11"/>
      <c r="M65" s="11"/>
      <c r="N65" s="11"/>
      <c r="O65" s="11"/>
      <c r="P65" s="11"/>
      <c r="Q65" s="11"/>
      <c r="R65" s="11"/>
      <c r="S65" s="11"/>
      <c r="T65" s="11"/>
    </row>
    <row r="66" spans="1:22" s="53" customFormat="1" ht="24.75">
      <c r="A66" s="198" t="s">
        <v>74</v>
      </c>
      <c r="B66" s="195" t="s">
        <v>195</v>
      </c>
      <c r="C66" s="58" t="s">
        <v>196</v>
      </c>
      <c r="D66" s="50" t="s">
        <v>27</v>
      </c>
      <c r="E66" s="54">
        <v>2</v>
      </c>
      <c r="F66" s="54"/>
      <c r="G66" s="54"/>
      <c r="H66" s="54"/>
      <c r="I66" s="54"/>
      <c r="J66" s="54"/>
      <c r="K66" s="47"/>
      <c r="L66" s="11"/>
      <c r="M66" s="11"/>
      <c r="N66" s="11"/>
      <c r="O66" s="11"/>
      <c r="P66" s="11"/>
      <c r="Q66" s="11"/>
      <c r="R66" s="11"/>
      <c r="S66" s="11"/>
      <c r="T66" s="11"/>
    </row>
    <row r="67" spans="1:22" s="53" customFormat="1" ht="24.75">
      <c r="A67" s="198" t="s">
        <v>75</v>
      </c>
      <c r="B67" s="195" t="s">
        <v>242</v>
      </c>
      <c r="C67" s="58" t="s">
        <v>243</v>
      </c>
      <c r="D67" s="50" t="s">
        <v>27</v>
      </c>
      <c r="E67" s="54">
        <v>1</v>
      </c>
      <c r="F67" s="54"/>
      <c r="G67" s="54"/>
      <c r="H67" s="54"/>
      <c r="I67" s="54"/>
      <c r="J67" s="54"/>
      <c r="K67" s="47"/>
      <c r="L67" s="11"/>
      <c r="M67" s="11"/>
      <c r="N67" s="11"/>
      <c r="O67" s="11"/>
      <c r="P67" s="11"/>
      <c r="Q67" s="11"/>
      <c r="R67" s="11"/>
      <c r="S67" s="11"/>
      <c r="T67" s="11"/>
    </row>
    <row r="68" spans="1:22" s="53" customFormat="1" ht="24.75">
      <c r="A68" s="198" t="s">
        <v>76</v>
      </c>
      <c r="B68" s="195" t="s">
        <v>264</v>
      </c>
      <c r="C68" s="58" t="s">
        <v>537</v>
      </c>
      <c r="D68" s="50" t="s">
        <v>27</v>
      </c>
      <c r="E68" s="54">
        <v>20</v>
      </c>
      <c r="F68" s="54"/>
      <c r="G68" s="54"/>
      <c r="H68" s="54"/>
      <c r="I68" s="54"/>
      <c r="J68" s="54"/>
      <c r="K68" s="47"/>
      <c r="L68" s="11"/>
      <c r="M68" s="11"/>
      <c r="N68" s="11"/>
      <c r="O68" s="11"/>
      <c r="P68" s="11"/>
      <c r="Q68" s="11"/>
      <c r="R68" s="11"/>
      <c r="S68" s="11"/>
      <c r="T68" s="11"/>
    </row>
    <row r="69" spans="1:22" s="53" customFormat="1" ht="24.75">
      <c r="A69" s="198" t="s">
        <v>77</v>
      </c>
      <c r="B69" s="195" t="s">
        <v>266</v>
      </c>
      <c r="C69" s="58" t="s">
        <v>267</v>
      </c>
      <c r="D69" s="50" t="s">
        <v>27</v>
      </c>
      <c r="E69" s="54">
        <v>16</v>
      </c>
      <c r="F69" s="54"/>
      <c r="G69" s="54"/>
      <c r="H69" s="54"/>
      <c r="I69" s="54"/>
      <c r="J69" s="54"/>
      <c r="K69" s="47"/>
      <c r="L69" s="11"/>
      <c r="M69" s="11"/>
      <c r="N69" s="11"/>
      <c r="O69" s="11"/>
      <c r="P69" s="11"/>
      <c r="Q69" s="11"/>
      <c r="R69" s="11"/>
      <c r="S69" s="11"/>
      <c r="T69" s="11"/>
    </row>
    <row r="70" spans="1:22" s="53" customFormat="1" ht="24.75">
      <c r="A70" s="198" t="s">
        <v>78</v>
      </c>
      <c r="B70" s="195" t="s">
        <v>266</v>
      </c>
      <c r="C70" s="58" t="s">
        <v>690</v>
      </c>
      <c r="D70" s="50" t="s">
        <v>27</v>
      </c>
      <c r="E70" s="54">
        <v>8</v>
      </c>
      <c r="F70" s="54"/>
      <c r="G70" s="54"/>
      <c r="H70" s="54"/>
      <c r="I70" s="54"/>
      <c r="J70" s="54"/>
      <c r="K70" s="47"/>
      <c r="L70" s="11"/>
      <c r="M70" s="11"/>
      <c r="N70" s="11"/>
      <c r="O70" s="11"/>
      <c r="P70" s="11"/>
      <c r="Q70" s="11"/>
      <c r="R70" s="11"/>
      <c r="S70" s="11"/>
      <c r="T70" s="11"/>
    </row>
    <row r="71" spans="1:22" s="53" customFormat="1">
      <c r="A71" s="198" t="s">
        <v>79</v>
      </c>
      <c r="B71" s="180" t="s">
        <v>247</v>
      </c>
      <c r="C71" s="167" t="s">
        <v>498</v>
      </c>
      <c r="D71" s="165" t="s">
        <v>27</v>
      </c>
      <c r="E71" s="54">
        <v>1</v>
      </c>
      <c r="F71" s="54"/>
      <c r="G71" s="54"/>
      <c r="H71" s="54"/>
      <c r="I71" s="54"/>
      <c r="J71" s="54"/>
      <c r="K71" s="47"/>
      <c r="L71" s="11"/>
      <c r="M71" s="11"/>
      <c r="N71" s="11"/>
      <c r="O71" s="11"/>
      <c r="P71" s="11"/>
      <c r="Q71" s="11"/>
      <c r="R71" s="11"/>
      <c r="S71" s="11"/>
      <c r="T71" s="11"/>
    </row>
    <row r="72" spans="1:22" s="53" customFormat="1" ht="24.75">
      <c r="A72" s="198" t="s">
        <v>80</v>
      </c>
      <c r="B72" s="195" t="s">
        <v>199</v>
      </c>
      <c r="C72" s="58" t="s">
        <v>268</v>
      </c>
      <c r="D72" s="50" t="s">
        <v>27</v>
      </c>
      <c r="E72" s="47">
        <v>2</v>
      </c>
      <c r="F72" s="54"/>
      <c r="G72" s="54"/>
      <c r="H72" s="54"/>
      <c r="I72" s="54"/>
      <c r="J72" s="54"/>
      <c r="K72" s="47"/>
      <c r="L72" s="11"/>
      <c r="M72" s="11"/>
      <c r="N72" s="11"/>
      <c r="O72" s="11"/>
      <c r="P72" s="11"/>
      <c r="Q72" s="11"/>
      <c r="R72" s="11"/>
      <c r="S72" s="11"/>
      <c r="T72" s="11"/>
    </row>
    <row r="73" spans="1:22" s="53" customFormat="1">
      <c r="A73" s="198" t="s">
        <v>81</v>
      </c>
      <c r="B73" s="180" t="s">
        <v>247</v>
      </c>
      <c r="C73" s="58" t="s">
        <v>515</v>
      </c>
      <c r="D73" s="50" t="s">
        <v>27</v>
      </c>
      <c r="E73" s="47">
        <v>8</v>
      </c>
      <c r="F73" s="54"/>
      <c r="G73" s="54"/>
      <c r="H73" s="54"/>
      <c r="I73" s="54"/>
      <c r="J73" s="54"/>
      <c r="K73" s="47"/>
      <c r="L73" s="11"/>
      <c r="M73" s="11"/>
      <c r="N73" s="11"/>
      <c r="O73" s="11"/>
      <c r="P73" s="11"/>
      <c r="Q73" s="11"/>
      <c r="R73" s="11"/>
      <c r="S73" s="11"/>
      <c r="T73" s="11"/>
    </row>
    <row r="74" spans="1:22" s="53" customFormat="1">
      <c r="A74" s="198" t="s">
        <v>251</v>
      </c>
      <c r="B74" s="197" t="s">
        <v>247</v>
      </c>
      <c r="C74" s="58" t="s">
        <v>248</v>
      </c>
      <c r="D74" s="50" t="s">
        <v>27</v>
      </c>
      <c r="E74" s="47">
        <v>2</v>
      </c>
      <c r="F74" s="54"/>
      <c r="G74" s="54"/>
      <c r="H74" s="54"/>
      <c r="I74" s="54"/>
      <c r="J74" s="54"/>
      <c r="K74" s="47"/>
      <c r="L74" s="11"/>
      <c r="M74" s="11"/>
      <c r="N74" s="11"/>
      <c r="O74" s="11"/>
      <c r="P74" s="11"/>
      <c r="Q74" s="11"/>
      <c r="R74" s="11"/>
      <c r="S74" s="11"/>
      <c r="T74" s="11"/>
    </row>
    <row r="75" spans="1:22" s="53" customFormat="1" ht="15.75" customHeight="1">
      <c r="A75" s="479" t="s">
        <v>43</v>
      </c>
      <c r="B75" s="480"/>
      <c r="C75" s="480"/>
      <c r="D75" s="480"/>
      <c r="E75" s="480"/>
      <c r="F75" s="480"/>
      <c r="G75" s="480"/>
      <c r="H75" s="480"/>
      <c r="I75" s="481"/>
      <c r="J75" s="23"/>
      <c r="K75" s="23"/>
      <c r="L75" s="77"/>
      <c r="M75" s="11"/>
      <c r="N75" s="11"/>
      <c r="O75" s="11"/>
      <c r="P75" s="11"/>
      <c r="Q75" s="11"/>
      <c r="R75" s="11"/>
      <c r="S75" s="11"/>
      <c r="T75" s="11"/>
    </row>
    <row r="76" spans="1:22" s="74" customFormat="1">
      <c r="A76" s="70" t="s">
        <v>44</v>
      </c>
      <c r="B76" s="448" t="s">
        <v>109</v>
      </c>
      <c r="C76" s="449"/>
      <c r="D76" s="449"/>
      <c r="E76" s="449"/>
      <c r="F76" s="449"/>
      <c r="G76" s="449"/>
      <c r="H76" s="449"/>
      <c r="I76" s="449"/>
      <c r="J76" s="449"/>
      <c r="K76" s="449"/>
      <c r="L76" s="78"/>
      <c r="M76" s="73"/>
      <c r="N76" s="73"/>
      <c r="O76" s="73"/>
      <c r="P76" s="73"/>
      <c r="Q76" s="73"/>
      <c r="R76" s="73"/>
      <c r="S76" s="73"/>
      <c r="T76" s="73"/>
      <c r="U76" s="73"/>
      <c r="V76" s="73"/>
    </row>
    <row r="77" spans="1:22" s="81" customFormat="1" ht="24.75">
      <c r="A77" s="80" t="s">
        <v>82</v>
      </c>
      <c r="B77" s="197" t="s">
        <v>203</v>
      </c>
      <c r="C77" s="181" t="s">
        <v>204</v>
      </c>
      <c r="D77" s="92" t="s">
        <v>29</v>
      </c>
      <c r="E77" s="47">
        <f>107.64+107.64+120.96</f>
        <v>336.24</v>
      </c>
      <c r="F77" s="47"/>
      <c r="G77" s="47"/>
      <c r="H77" s="47"/>
      <c r="I77" s="47"/>
      <c r="J77" s="82"/>
      <c r="K77" s="47"/>
      <c r="L77" s="78"/>
      <c r="M77" s="73"/>
      <c r="N77" s="73"/>
      <c r="O77" s="73"/>
      <c r="P77" s="73"/>
      <c r="Q77" s="73"/>
      <c r="R77" s="73"/>
      <c r="S77" s="73"/>
      <c r="T77" s="73"/>
      <c r="U77" s="73"/>
      <c r="V77" s="73"/>
    </row>
    <row r="78" spans="1:22" s="81" customFormat="1" ht="24.75">
      <c r="A78" s="80" t="s">
        <v>86</v>
      </c>
      <c r="B78" s="197" t="s">
        <v>205</v>
      </c>
      <c r="C78" s="181" t="s">
        <v>206</v>
      </c>
      <c r="D78" s="92" t="s">
        <v>29</v>
      </c>
      <c r="E78" s="47">
        <f>E77*1.005</f>
        <v>337.9212</v>
      </c>
      <c r="F78" s="47"/>
      <c r="G78" s="47"/>
      <c r="H78" s="47"/>
      <c r="I78" s="47"/>
      <c r="J78" s="82"/>
      <c r="K78" s="47"/>
      <c r="L78" s="78"/>
      <c r="M78" s="73"/>
      <c r="N78" s="73"/>
      <c r="O78" s="73"/>
      <c r="P78" s="73"/>
      <c r="Q78" s="73"/>
      <c r="R78" s="73"/>
      <c r="S78" s="73"/>
      <c r="T78" s="73"/>
      <c r="U78" s="73"/>
      <c r="V78" s="73"/>
    </row>
    <row r="79" spans="1:22" s="81" customFormat="1">
      <c r="A79" s="80" t="s">
        <v>110</v>
      </c>
      <c r="B79" s="180">
        <v>72104</v>
      </c>
      <c r="C79" s="181" t="s">
        <v>520</v>
      </c>
      <c r="D79" s="182" t="s">
        <v>28</v>
      </c>
      <c r="E79" s="219">
        <f>(8.7+8.7+20+20)*1.005</f>
        <v>57.686999999999991</v>
      </c>
      <c r="F79" s="117"/>
      <c r="G79" s="117"/>
      <c r="H79" s="117"/>
      <c r="I79" s="117"/>
      <c r="J79" s="177"/>
      <c r="K79" s="47"/>
      <c r="L79" s="78"/>
      <c r="M79" s="73"/>
      <c r="N79" s="73"/>
      <c r="O79" s="73"/>
      <c r="P79" s="73"/>
      <c r="Q79" s="73"/>
      <c r="R79" s="73"/>
      <c r="S79" s="73"/>
      <c r="T79" s="73"/>
      <c r="U79" s="73"/>
      <c r="V79" s="73"/>
    </row>
    <row r="80" spans="1:22" s="81" customFormat="1">
      <c r="A80" s="80" t="s">
        <v>111</v>
      </c>
      <c r="B80" s="197">
        <v>72104</v>
      </c>
      <c r="C80" s="76" t="s">
        <v>208</v>
      </c>
      <c r="D80" s="92" t="s">
        <v>28</v>
      </c>
      <c r="E80" s="53">
        <v>26.9</v>
      </c>
      <c r="F80" s="47"/>
      <c r="G80" s="47"/>
      <c r="H80" s="47"/>
      <c r="I80" s="47"/>
      <c r="J80" s="82"/>
      <c r="K80" s="47"/>
      <c r="L80" s="78"/>
      <c r="M80" s="73"/>
      <c r="N80" s="73"/>
      <c r="O80" s="73"/>
      <c r="P80" s="73"/>
      <c r="Q80" s="73"/>
      <c r="R80" s="73"/>
      <c r="S80" s="73"/>
      <c r="T80" s="73"/>
      <c r="U80" s="73"/>
      <c r="V80" s="73"/>
    </row>
    <row r="81" spans="1:22" s="81" customFormat="1">
      <c r="A81" s="80" t="s">
        <v>463</v>
      </c>
      <c r="B81" s="197">
        <v>72106</v>
      </c>
      <c r="C81" s="76" t="s">
        <v>207</v>
      </c>
      <c r="D81" s="92" t="s">
        <v>28</v>
      </c>
      <c r="E81" s="47">
        <f>((20*2)+(10.3*4))*1.005</f>
        <v>81.605999999999995</v>
      </c>
      <c r="F81" s="47"/>
      <c r="G81" s="47"/>
      <c r="H81" s="47"/>
      <c r="I81" s="47"/>
      <c r="J81" s="82"/>
      <c r="K81" s="47"/>
      <c r="L81" s="78"/>
      <c r="M81" s="73"/>
      <c r="N81" s="73"/>
      <c r="O81" s="73"/>
      <c r="P81" s="73"/>
      <c r="Q81" s="73"/>
      <c r="R81" s="73"/>
      <c r="S81" s="73"/>
      <c r="T81" s="73"/>
      <c r="U81" s="73"/>
      <c r="V81" s="73"/>
    </row>
    <row r="82" spans="1:22" s="74" customFormat="1">
      <c r="A82" s="462" t="s">
        <v>45</v>
      </c>
      <c r="B82" s="463"/>
      <c r="C82" s="463"/>
      <c r="D82" s="463"/>
      <c r="E82" s="463"/>
      <c r="F82" s="463"/>
      <c r="G82" s="463"/>
      <c r="H82" s="463"/>
      <c r="I82" s="464"/>
      <c r="J82" s="23"/>
      <c r="K82" s="23"/>
      <c r="L82" s="79"/>
      <c r="M82" s="73"/>
      <c r="N82" s="73"/>
      <c r="O82" s="73"/>
      <c r="P82" s="73"/>
      <c r="Q82" s="73"/>
      <c r="R82" s="73"/>
      <c r="S82" s="73"/>
      <c r="T82" s="73"/>
      <c r="U82" s="73"/>
      <c r="V82" s="73"/>
    </row>
    <row r="83" spans="1:22" s="53" customFormat="1">
      <c r="A83" s="48" t="s">
        <v>83</v>
      </c>
      <c r="B83" s="474" t="s">
        <v>6</v>
      </c>
      <c r="C83" s="475"/>
      <c r="D83" s="475"/>
      <c r="E83" s="475"/>
      <c r="F83" s="475"/>
      <c r="G83" s="475"/>
      <c r="H83" s="475"/>
      <c r="I83" s="475"/>
      <c r="J83" s="475"/>
      <c r="K83" s="476"/>
      <c r="L83" s="77"/>
      <c r="M83" s="11"/>
      <c r="N83" s="11"/>
      <c r="O83" s="11"/>
      <c r="P83" s="11"/>
      <c r="Q83" s="11"/>
      <c r="R83" s="11"/>
      <c r="S83" s="11"/>
      <c r="T83" s="11"/>
    </row>
    <row r="84" spans="1:22" s="91" customFormat="1">
      <c r="A84" s="86" t="s">
        <v>343</v>
      </c>
      <c r="B84" s="358" t="s">
        <v>850</v>
      </c>
      <c r="C84" s="202" t="s">
        <v>31</v>
      </c>
      <c r="D84" s="201" t="s">
        <v>28</v>
      </c>
      <c r="E84" s="88">
        <v>581.17999999999995</v>
      </c>
      <c r="F84" s="202"/>
      <c r="G84" s="54"/>
      <c r="H84" s="202"/>
      <c r="I84" s="54"/>
      <c r="J84" s="54"/>
      <c r="K84" s="54"/>
      <c r="L84" s="90"/>
      <c r="M84" s="390"/>
      <c r="N84" s="391"/>
      <c r="O84" s="90"/>
      <c r="P84" s="90"/>
      <c r="Q84" s="90"/>
      <c r="R84" s="90"/>
      <c r="S84" s="90"/>
      <c r="T84" s="90"/>
    </row>
    <row r="85" spans="1:22" s="91" customFormat="1">
      <c r="A85" s="86" t="s">
        <v>344</v>
      </c>
      <c r="B85" s="358" t="s">
        <v>851</v>
      </c>
      <c r="C85" s="191" t="s">
        <v>49</v>
      </c>
      <c r="D85" s="204" t="s">
        <v>28</v>
      </c>
      <c r="E85" s="57">
        <v>130.75</v>
      </c>
      <c r="F85" s="191"/>
      <c r="G85" s="47"/>
      <c r="H85" s="191"/>
      <c r="I85" s="47"/>
      <c r="J85" s="47"/>
      <c r="K85" s="54"/>
      <c r="L85" s="90"/>
      <c r="M85" s="390"/>
      <c r="N85" s="224"/>
      <c r="O85" s="90"/>
      <c r="P85" s="90"/>
      <c r="Q85" s="90"/>
      <c r="R85" s="90"/>
      <c r="S85" s="90"/>
      <c r="T85" s="90"/>
    </row>
    <row r="86" spans="1:22" s="91" customFormat="1">
      <c r="A86" s="86" t="s">
        <v>345</v>
      </c>
      <c r="B86" s="358" t="s">
        <v>870</v>
      </c>
      <c r="C86" s="191" t="s">
        <v>312</v>
      </c>
      <c r="D86" s="204" t="s">
        <v>28</v>
      </c>
      <c r="E86" s="57">
        <v>94</v>
      </c>
      <c r="F86" s="191"/>
      <c r="G86" s="47"/>
      <c r="H86" s="191"/>
      <c r="I86" s="47"/>
      <c r="J86" s="47"/>
      <c r="K86" s="54"/>
      <c r="L86" s="90"/>
      <c r="M86" s="390"/>
      <c r="N86" s="224"/>
      <c r="O86" s="90"/>
      <c r="P86" s="90"/>
      <c r="Q86" s="90"/>
      <c r="R86" s="90"/>
      <c r="S86" s="90"/>
      <c r="T86" s="90"/>
    </row>
    <row r="87" spans="1:22" s="91" customFormat="1">
      <c r="A87" s="86" t="s">
        <v>346</v>
      </c>
      <c r="B87" s="137"/>
      <c r="C87" s="191" t="s">
        <v>48</v>
      </c>
      <c r="D87" s="173" t="s">
        <v>27</v>
      </c>
      <c r="E87" s="47">
        <v>38</v>
      </c>
      <c r="F87" s="47"/>
      <c r="G87" s="47"/>
      <c r="H87" s="47"/>
      <c r="I87" s="47"/>
      <c r="J87" s="47"/>
      <c r="K87" s="54"/>
      <c r="L87" s="90"/>
      <c r="M87" s="392"/>
      <c r="N87" s="224"/>
      <c r="O87" s="90"/>
      <c r="P87" s="90"/>
      <c r="Q87" s="90"/>
      <c r="R87" s="90"/>
      <c r="S87" s="90"/>
      <c r="T87" s="90"/>
    </row>
    <row r="88" spans="1:22" s="91" customFormat="1">
      <c r="A88" s="86" t="s">
        <v>347</v>
      </c>
      <c r="B88" s="137"/>
      <c r="C88" s="184" t="s">
        <v>100</v>
      </c>
      <c r="D88" s="173" t="s">
        <v>27</v>
      </c>
      <c r="E88" s="256">
        <v>45</v>
      </c>
      <c r="F88" s="47"/>
      <c r="G88" s="47"/>
      <c r="H88" s="185"/>
      <c r="I88" s="47"/>
      <c r="J88" s="47"/>
      <c r="K88" s="54"/>
      <c r="L88" s="90"/>
      <c r="M88" s="392"/>
      <c r="N88" s="393"/>
      <c r="O88" s="90"/>
      <c r="P88" s="90"/>
      <c r="Q88" s="90"/>
      <c r="R88" s="90"/>
      <c r="S88" s="90"/>
      <c r="T88" s="90"/>
    </row>
    <row r="89" spans="1:22" s="91" customFormat="1">
      <c r="A89" s="86" t="s">
        <v>348</v>
      </c>
      <c r="B89" s="137"/>
      <c r="C89" s="191" t="s">
        <v>328</v>
      </c>
      <c r="D89" s="173" t="s">
        <v>28</v>
      </c>
      <c r="E89" s="47">
        <v>306.12</v>
      </c>
      <c r="F89" s="47"/>
      <c r="G89" s="47"/>
      <c r="H89" s="47"/>
      <c r="I89" s="47"/>
      <c r="J89" s="47"/>
      <c r="K89" s="54"/>
      <c r="L89" s="90"/>
      <c r="M89" s="394"/>
      <c r="N89" s="224"/>
      <c r="O89" s="90"/>
      <c r="P89" s="90"/>
      <c r="Q89" s="90"/>
      <c r="R89" s="90"/>
      <c r="S89" s="90"/>
      <c r="T89" s="90"/>
    </row>
    <row r="90" spans="1:22" s="91" customFormat="1">
      <c r="A90" s="86" t="s">
        <v>349</v>
      </c>
      <c r="B90" s="137"/>
      <c r="C90" s="191" t="s">
        <v>89</v>
      </c>
      <c r="D90" s="173" t="s">
        <v>27</v>
      </c>
      <c r="E90" s="47">
        <v>10</v>
      </c>
      <c r="F90" s="47"/>
      <c r="G90" s="47"/>
      <c r="H90" s="47"/>
      <c r="I90" s="47"/>
      <c r="J90" s="47"/>
      <c r="K90" s="54"/>
      <c r="L90" s="90"/>
      <c r="M90" s="392"/>
      <c r="N90" s="224"/>
      <c r="O90" s="90"/>
      <c r="P90" s="90"/>
      <c r="Q90" s="90"/>
      <c r="R90" s="90"/>
      <c r="S90" s="90"/>
      <c r="T90" s="90"/>
    </row>
    <row r="91" spans="1:22" s="91" customFormat="1">
      <c r="A91" s="86" t="s">
        <v>350</v>
      </c>
      <c r="B91" s="137"/>
      <c r="C91" s="191" t="s">
        <v>52</v>
      </c>
      <c r="D91" s="173" t="s">
        <v>27</v>
      </c>
      <c r="E91" s="47">
        <v>10</v>
      </c>
      <c r="F91" s="47"/>
      <c r="G91" s="47"/>
      <c r="H91" s="47"/>
      <c r="I91" s="47"/>
      <c r="J91" s="47"/>
      <c r="K91" s="54"/>
      <c r="L91" s="90"/>
      <c r="M91" s="390"/>
      <c r="N91" s="224"/>
      <c r="O91" s="90"/>
      <c r="P91" s="90"/>
      <c r="Q91" s="90"/>
      <c r="R91" s="90"/>
      <c r="S91" s="90"/>
      <c r="T91" s="90"/>
    </row>
    <row r="92" spans="1:22" s="157" customFormat="1" ht="14.25">
      <c r="A92" s="86" t="s">
        <v>386</v>
      </c>
      <c r="B92" s="137"/>
      <c r="C92" s="58" t="s">
        <v>654</v>
      </c>
      <c r="D92" s="50" t="s">
        <v>27</v>
      </c>
      <c r="E92" s="47">
        <v>1</v>
      </c>
      <c r="F92" s="47"/>
      <c r="G92" s="47"/>
      <c r="H92" s="47"/>
      <c r="I92" s="47"/>
      <c r="J92" s="47"/>
      <c r="K92" s="47"/>
      <c r="L92" s="90"/>
      <c r="M92" s="392"/>
      <c r="N92" s="224"/>
      <c r="O92" s="90"/>
      <c r="P92" s="90"/>
      <c r="Q92" s="90"/>
      <c r="R92" s="90"/>
      <c r="S92" s="90"/>
      <c r="T92" s="90"/>
    </row>
    <row r="93" spans="1:22" s="91" customFormat="1">
      <c r="A93" s="86" t="s">
        <v>351</v>
      </c>
      <c r="B93" s="137"/>
      <c r="C93" s="191" t="s">
        <v>53</v>
      </c>
      <c r="D93" s="173" t="s">
        <v>27</v>
      </c>
      <c r="E93" s="47">
        <v>12</v>
      </c>
      <c r="F93" s="47"/>
      <c r="G93" s="47"/>
      <c r="H93" s="47"/>
      <c r="I93" s="47"/>
      <c r="J93" s="47"/>
      <c r="K93" s="54"/>
      <c r="L93" s="90"/>
      <c r="M93" s="392"/>
      <c r="N93" s="224"/>
      <c r="O93" s="90"/>
      <c r="P93" s="90"/>
      <c r="Q93" s="90"/>
      <c r="R93" s="90"/>
      <c r="S93" s="90"/>
      <c r="T93" s="90"/>
    </row>
    <row r="94" spans="1:22" s="91" customFormat="1">
      <c r="A94" s="86" t="s">
        <v>386</v>
      </c>
      <c r="B94" s="137"/>
      <c r="C94" s="186" t="s">
        <v>314</v>
      </c>
      <c r="D94" s="173" t="s">
        <v>27</v>
      </c>
      <c r="E94" s="47">
        <v>21</v>
      </c>
      <c r="F94" s="186"/>
      <c r="G94" s="47"/>
      <c r="H94" s="47"/>
      <c r="I94" s="47"/>
      <c r="J94" s="47"/>
      <c r="K94" s="54"/>
      <c r="L94" s="90"/>
      <c r="M94" s="395"/>
      <c r="N94" s="224"/>
      <c r="O94" s="90"/>
      <c r="P94" s="90"/>
      <c r="Q94" s="90"/>
      <c r="R94" s="90"/>
      <c r="S94" s="90"/>
      <c r="T94" s="90"/>
    </row>
    <row r="95" spans="1:22" s="91" customFormat="1">
      <c r="A95" s="86" t="s">
        <v>387</v>
      </c>
      <c r="B95" s="137"/>
      <c r="C95" s="186" t="s">
        <v>91</v>
      </c>
      <c r="D95" s="173" t="s">
        <v>27</v>
      </c>
      <c r="E95" s="47">
        <v>59</v>
      </c>
      <c r="F95" s="186"/>
      <c r="G95" s="47"/>
      <c r="H95" s="186"/>
      <c r="I95" s="47"/>
      <c r="J95" s="47"/>
      <c r="K95" s="54"/>
      <c r="L95" s="90"/>
      <c r="M95" s="395"/>
      <c r="N95" s="224"/>
      <c r="O95" s="90"/>
      <c r="P95" s="90"/>
      <c r="Q95" s="90"/>
      <c r="R95" s="90"/>
      <c r="S95" s="90"/>
      <c r="T95" s="90"/>
    </row>
    <row r="96" spans="1:22" s="91" customFormat="1">
      <c r="A96" s="86" t="s">
        <v>389</v>
      </c>
      <c r="B96" s="359" t="s">
        <v>852</v>
      </c>
      <c r="C96" s="186" t="s">
        <v>50</v>
      </c>
      <c r="D96" s="173" t="s">
        <v>27</v>
      </c>
      <c r="E96" s="47">
        <v>7</v>
      </c>
      <c r="F96" s="47"/>
      <c r="G96" s="47"/>
      <c r="H96" s="186"/>
      <c r="I96" s="47"/>
      <c r="J96" s="47"/>
      <c r="K96" s="54"/>
      <c r="L96" s="90"/>
      <c r="M96" s="392"/>
      <c r="N96" s="372"/>
      <c r="O96" s="90"/>
      <c r="P96" s="90"/>
      <c r="Q96" s="90"/>
      <c r="R96" s="90"/>
      <c r="S96" s="90"/>
      <c r="T96" s="90"/>
    </row>
    <row r="97" spans="1:20" s="91" customFormat="1">
      <c r="A97" s="86" t="s">
        <v>390</v>
      </c>
      <c r="B97" s="359" t="s">
        <v>852</v>
      </c>
      <c r="C97" s="186" t="s">
        <v>90</v>
      </c>
      <c r="D97" s="173" t="s">
        <v>27</v>
      </c>
      <c r="E97" s="47">
        <v>1</v>
      </c>
      <c r="F97" s="47"/>
      <c r="G97" s="47"/>
      <c r="H97" s="186"/>
      <c r="I97" s="47"/>
      <c r="J97" s="47"/>
      <c r="K97" s="54"/>
      <c r="L97" s="90"/>
      <c r="M97" s="392"/>
      <c r="N97" s="11"/>
      <c r="O97" s="90"/>
      <c r="P97" s="90"/>
      <c r="Q97" s="90"/>
      <c r="R97" s="90"/>
      <c r="S97" s="90"/>
      <c r="T97" s="90"/>
    </row>
    <row r="98" spans="1:20" s="157" customFormat="1" ht="14.25">
      <c r="A98" s="86" t="s">
        <v>601</v>
      </c>
      <c r="B98" s="359" t="s">
        <v>853</v>
      </c>
      <c r="C98" s="49" t="s">
        <v>655</v>
      </c>
      <c r="D98" s="50" t="s">
        <v>27</v>
      </c>
      <c r="E98" s="47">
        <v>1</v>
      </c>
      <c r="F98" s="47"/>
      <c r="G98" s="47"/>
      <c r="H98" s="49"/>
      <c r="I98" s="47"/>
      <c r="J98" s="47"/>
      <c r="K98" s="47"/>
      <c r="L98" s="90"/>
      <c r="M98" s="396"/>
      <c r="N98" s="11"/>
      <c r="O98" s="90"/>
      <c r="P98" s="90"/>
      <c r="Q98" s="90"/>
      <c r="R98" s="90"/>
      <c r="S98" s="90"/>
      <c r="T98" s="90"/>
    </row>
    <row r="99" spans="1:20" s="91" customFormat="1">
      <c r="A99" s="86" t="s">
        <v>400</v>
      </c>
      <c r="B99" s="137"/>
      <c r="C99" s="186" t="s">
        <v>329</v>
      </c>
      <c r="D99" s="173" t="s">
        <v>27</v>
      </c>
      <c r="E99" s="47">
        <v>1</v>
      </c>
      <c r="F99" s="47"/>
      <c r="G99" s="47"/>
      <c r="H99" s="186"/>
      <c r="I99" s="47"/>
      <c r="J99" s="47"/>
      <c r="K99" s="54"/>
      <c r="L99" s="90"/>
      <c r="M99" s="396"/>
      <c r="N99" s="11"/>
      <c r="O99" s="90"/>
      <c r="P99" s="90"/>
      <c r="Q99" s="90"/>
      <c r="R99" s="90"/>
      <c r="S99" s="90"/>
      <c r="T99" s="90"/>
    </row>
    <row r="100" spans="1:20" s="91" customFormat="1">
      <c r="A100" s="86" t="s">
        <v>401</v>
      </c>
      <c r="B100" s="137"/>
      <c r="C100" s="186" t="s">
        <v>93</v>
      </c>
      <c r="D100" s="173" t="s">
        <v>27</v>
      </c>
      <c r="E100" s="47">
        <v>5</v>
      </c>
      <c r="F100" s="47"/>
      <c r="G100" s="47"/>
      <c r="H100" s="186"/>
      <c r="I100" s="47"/>
      <c r="J100" s="47"/>
      <c r="K100" s="54"/>
      <c r="L100" s="90"/>
      <c r="M100" s="396"/>
      <c r="N100" s="11"/>
      <c r="O100" s="90"/>
      <c r="P100" s="90"/>
      <c r="Q100" s="90"/>
      <c r="R100" s="90"/>
      <c r="S100" s="90"/>
      <c r="T100" s="90"/>
    </row>
    <row r="101" spans="1:20" s="91" customFormat="1">
      <c r="A101" s="86" t="s">
        <v>402</v>
      </c>
      <c r="B101" s="137"/>
      <c r="C101" s="186" t="s">
        <v>624</v>
      </c>
      <c r="D101" s="173" t="s">
        <v>27</v>
      </c>
      <c r="E101" s="47">
        <v>1</v>
      </c>
      <c r="F101" s="47"/>
      <c r="G101" s="47"/>
      <c r="H101" s="186"/>
      <c r="I101" s="47"/>
      <c r="J101" s="47"/>
      <c r="K101" s="54"/>
      <c r="L101" s="90"/>
      <c r="M101" s="396"/>
      <c r="N101" s="11"/>
      <c r="O101" s="90"/>
      <c r="P101" s="90"/>
      <c r="Q101" s="90"/>
      <c r="R101" s="90"/>
      <c r="S101" s="90"/>
      <c r="T101" s="90"/>
    </row>
    <row r="102" spans="1:20" s="91" customFormat="1">
      <c r="A102" s="86" t="s">
        <v>403</v>
      </c>
      <c r="B102" s="137"/>
      <c r="C102" s="186" t="s">
        <v>330</v>
      </c>
      <c r="D102" s="173"/>
      <c r="E102" s="47">
        <v>61.97</v>
      </c>
      <c r="F102" s="47"/>
      <c r="G102" s="47"/>
      <c r="H102" s="186"/>
      <c r="I102" s="47"/>
      <c r="J102" s="47"/>
      <c r="K102" s="54"/>
      <c r="L102" s="90"/>
      <c r="M102" s="392"/>
      <c r="N102" s="372"/>
      <c r="O102" s="90"/>
      <c r="P102" s="90"/>
      <c r="Q102" s="90"/>
      <c r="R102" s="90"/>
      <c r="S102" s="90"/>
      <c r="T102" s="90"/>
    </row>
    <row r="103" spans="1:20" s="53" customFormat="1">
      <c r="A103" s="86" t="s">
        <v>404</v>
      </c>
      <c r="B103" s="59"/>
      <c r="C103" s="186" t="s">
        <v>331</v>
      </c>
      <c r="D103" s="173" t="s">
        <v>27</v>
      </c>
      <c r="E103" s="47">
        <v>9</v>
      </c>
      <c r="F103" s="186"/>
      <c r="G103" s="47"/>
      <c r="H103" s="47"/>
      <c r="I103" s="47"/>
      <c r="J103" s="47"/>
      <c r="K103" s="54"/>
      <c r="L103" s="11"/>
      <c r="M103" s="397"/>
      <c r="N103" s="11"/>
      <c r="O103" s="11"/>
      <c r="P103" s="11"/>
      <c r="Q103" s="11"/>
      <c r="R103" s="11"/>
      <c r="S103" s="11"/>
      <c r="T103" s="11"/>
    </row>
    <row r="104" spans="1:20">
      <c r="A104" s="479" t="s">
        <v>84</v>
      </c>
      <c r="B104" s="480"/>
      <c r="C104" s="480"/>
      <c r="D104" s="480"/>
      <c r="E104" s="480"/>
      <c r="F104" s="480"/>
      <c r="G104" s="480"/>
      <c r="H104" s="480"/>
      <c r="I104" s="481"/>
      <c r="J104" s="23"/>
      <c r="K104" s="39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1:20" s="53" customFormat="1">
      <c r="A105" s="60" t="s">
        <v>46</v>
      </c>
      <c r="B105" s="486" t="s">
        <v>112</v>
      </c>
      <c r="C105" s="487"/>
      <c r="D105" s="487"/>
      <c r="E105" s="487"/>
      <c r="F105" s="487"/>
      <c r="G105" s="487"/>
      <c r="H105" s="487"/>
      <c r="I105" s="487"/>
      <c r="J105" s="487"/>
      <c r="K105" s="488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1:20" s="53" customFormat="1">
      <c r="A106" s="48" t="s">
        <v>352</v>
      </c>
      <c r="B106" s="48"/>
      <c r="C106" s="184" t="s">
        <v>94</v>
      </c>
      <c r="D106" s="205" t="s">
        <v>28</v>
      </c>
      <c r="E106" s="261">
        <v>35.04</v>
      </c>
      <c r="F106" s="257"/>
      <c r="G106" s="257"/>
      <c r="H106" s="257"/>
      <c r="I106" s="257"/>
      <c r="J106" s="257"/>
      <c r="K106" s="258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1:20" s="53" customFormat="1">
      <c r="A107" s="48" t="s">
        <v>353</v>
      </c>
      <c r="B107" s="48"/>
      <c r="C107" s="184" t="s">
        <v>95</v>
      </c>
      <c r="D107" s="171" t="s">
        <v>27</v>
      </c>
      <c r="E107" s="261">
        <v>6</v>
      </c>
      <c r="F107" s="185"/>
      <c r="G107" s="257"/>
      <c r="H107" s="185"/>
      <c r="I107" s="257"/>
      <c r="J107" s="257"/>
      <c r="K107" s="258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1:20" s="53" customFormat="1">
      <c r="A108" s="48" t="s">
        <v>354</v>
      </c>
      <c r="B108" s="48"/>
      <c r="C108" s="184" t="s">
        <v>99</v>
      </c>
      <c r="D108" s="171" t="s">
        <v>27</v>
      </c>
      <c r="E108" s="261">
        <v>7</v>
      </c>
      <c r="F108" s="185"/>
      <c r="G108" s="257"/>
      <c r="H108" s="185"/>
      <c r="I108" s="257"/>
      <c r="J108" s="257"/>
      <c r="K108" s="258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1:20" s="53" customFormat="1" ht="24.75">
      <c r="A109" s="48" t="s">
        <v>355</v>
      </c>
      <c r="B109" s="48"/>
      <c r="C109" s="206" t="s">
        <v>97</v>
      </c>
      <c r="D109" s="171" t="s">
        <v>27</v>
      </c>
      <c r="E109" s="261">
        <v>1</v>
      </c>
      <c r="F109" s="185"/>
      <c r="G109" s="257"/>
      <c r="H109" s="185"/>
      <c r="I109" s="257"/>
      <c r="J109" s="257"/>
      <c r="K109" s="258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 s="53" customFormat="1">
      <c r="A110" s="48" t="s">
        <v>356</v>
      </c>
      <c r="B110" s="48"/>
      <c r="C110" s="184" t="s">
        <v>98</v>
      </c>
      <c r="D110" s="205" t="s">
        <v>28</v>
      </c>
      <c r="E110" s="261">
        <v>48.15</v>
      </c>
      <c r="F110" s="185"/>
      <c r="G110" s="257"/>
      <c r="H110" s="185"/>
      <c r="I110" s="257"/>
      <c r="J110" s="257"/>
      <c r="K110" s="258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0" s="53" customFormat="1">
      <c r="A111" s="48" t="s">
        <v>357</v>
      </c>
      <c r="B111" s="48"/>
      <c r="C111" s="206" t="s">
        <v>96</v>
      </c>
      <c r="D111" s="205" t="s">
        <v>28</v>
      </c>
      <c r="E111" s="261">
        <v>48.15</v>
      </c>
      <c r="F111" s="185"/>
      <c r="G111" s="257"/>
      <c r="H111" s="185"/>
      <c r="I111" s="257"/>
      <c r="J111" s="257"/>
      <c r="K111" s="258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 s="53" customFormat="1">
      <c r="A112" s="48" t="s">
        <v>358</v>
      </c>
      <c r="B112" s="48"/>
      <c r="C112" s="191" t="s">
        <v>48</v>
      </c>
      <c r="D112" s="171" t="s">
        <v>27</v>
      </c>
      <c r="E112" s="172">
        <v>13</v>
      </c>
      <c r="F112" s="257"/>
      <c r="G112" s="257"/>
      <c r="H112" s="257"/>
      <c r="I112" s="257"/>
      <c r="J112" s="257"/>
      <c r="K112" s="258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2" s="53" customFormat="1">
      <c r="A113" s="482" t="s">
        <v>85</v>
      </c>
      <c r="B113" s="483"/>
      <c r="C113" s="483"/>
      <c r="D113" s="483"/>
      <c r="E113" s="483"/>
      <c r="F113" s="483"/>
      <c r="G113" s="483"/>
      <c r="H113" s="483"/>
      <c r="I113" s="484"/>
      <c r="J113" s="259"/>
      <c r="K113" s="259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2" s="53" customFormat="1">
      <c r="A114" s="60" t="s">
        <v>138</v>
      </c>
      <c r="B114" s="559" t="s">
        <v>54</v>
      </c>
      <c r="C114" s="560"/>
      <c r="D114" s="560"/>
      <c r="E114" s="560"/>
      <c r="F114" s="560"/>
      <c r="G114" s="560"/>
      <c r="H114" s="560"/>
      <c r="I114" s="560"/>
      <c r="J114" s="560"/>
      <c r="K114" s="561"/>
      <c r="L114" s="11"/>
      <c r="M114" s="11"/>
      <c r="N114" s="11"/>
      <c r="O114" s="11"/>
      <c r="P114" s="11"/>
      <c r="Q114" s="11"/>
      <c r="R114" s="11"/>
      <c r="S114" s="11"/>
      <c r="T114" s="11"/>
      <c r="U114" s="252"/>
      <c r="V114" s="252"/>
    </row>
    <row r="115" spans="1:22" s="53" customFormat="1">
      <c r="A115" s="48" t="s">
        <v>359</v>
      </c>
      <c r="B115" s="365" t="s">
        <v>747</v>
      </c>
      <c r="C115" s="186" t="s">
        <v>336</v>
      </c>
      <c r="D115" s="173" t="s">
        <v>28</v>
      </c>
      <c r="E115" s="47">
        <v>136.76</v>
      </c>
      <c r="F115" s="47"/>
      <c r="G115" s="47"/>
      <c r="H115" s="47"/>
      <c r="I115" s="47"/>
      <c r="J115" s="47"/>
      <c r="K115" s="54"/>
      <c r="L115" s="11"/>
      <c r="M115" s="11"/>
      <c r="N115" s="11"/>
      <c r="O115" s="11"/>
      <c r="P115" s="11"/>
      <c r="Q115" s="11"/>
      <c r="R115" s="11"/>
      <c r="S115" s="11"/>
      <c r="T115" s="11"/>
      <c r="U115" s="252"/>
      <c r="V115" s="252"/>
    </row>
    <row r="116" spans="1:22" s="53" customFormat="1">
      <c r="A116" s="48" t="s">
        <v>360</v>
      </c>
      <c r="B116" s="365" t="s">
        <v>856</v>
      </c>
      <c r="C116" s="186" t="s">
        <v>337</v>
      </c>
      <c r="D116" s="173" t="s">
        <v>28</v>
      </c>
      <c r="E116" s="47">
        <v>7.47</v>
      </c>
      <c r="F116" s="47"/>
      <c r="G116" s="47"/>
      <c r="H116" s="47"/>
      <c r="I116" s="47"/>
      <c r="J116" s="47"/>
      <c r="K116" s="54"/>
      <c r="L116" s="11"/>
      <c r="M116" s="11"/>
      <c r="N116" s="11"/>
      <c r="O116" s="395"/>
      <c r="P116" s="372"/>
      <c r="Q116" s="11"/>
      <c r="R116" s="11"/>
      <c r="S116" s="11"/>
      <c r="T116" s="11"/>
      <c r="U116" s="252"/>
      <c r="V116" s="252"/>
    </row>
    <row r="117" spans="1:22" s="53" customFormat="1">
      <c r="A117" s="48" t="s">
        <v>361</v>
      </c>
      <c r="B117" s="365" t="s">
        <v>857</v>
      </c>
      <c r="C117" s="186" t="s">
        <v>338</v>
      </c>
      <c r="D117" s="173" t="s">
        <v>28</v>
      </c>
      <c r="E117" s="47">
        <v>7.4</v>
      </c>
      <c r="F117" s="47"/>
      <c r="G117" s="47"/>
      <c r="H117" s="47"/>
      <c r="I117" s="47"/>
      <c r="J117" s="47"/>
      <c r="K117" s="54"/>
      <c r="L117" s="11"/>
      <c r="M117" s="11"/>
      <c r="N117" s="11"/>
      <c r="O117" s="395"/>
      <c r="P117" s="372"/>
      <c r="Q117" s="11"/>
      <c r="R117" s="11"/>
      <c r="S117" s="11"/>
      <c r="T117" s="11"/>
      <c r="U117" s="252"/>
      <c r="V117" s="252"/>
    </row>
    <row r="118" spans="1:22" s="53" customFormat="1">
      <c r="A118" s="48" t="s">
        <v>362</v>
      </c>
      <c r="B118" s="365" t="s">
        <v>859</v>
      </c>
      <c r="C118" s="186" t="s">
        <v>339</v>
      </c>
      <c r="D118" s="173" t="s">
        <v>28</v>
      </c>
      <c r="E118" s="47">
        <v>95.39</v>
      </c>
      <c r="F118" s="47"/>
      <c r="G118" s="47"/>
      <c r="H118" s="47"/>
      <c r="I118" s="47"/>
      <c r="J118" s="47"/>
      <c r="K118" s="54"/>
      <c r="L118" s="11"/>
      <c r="M118" s="11"/>
      <c r="N118" s="11"/>
      <c r="O118" s="395"/>
      <c r="P118" s="372"/>
      <c r="Q118" s="11"/>
      <c r="R118" s="11"/>
      <c r="S118" s="11"/>
      <c r="T118" s="11"/>
      <c r="U118" s="252"/>
      <c r="V118" s="252"/>
    </row>
    <row r="119" spans="1:22" s="53" customFormat="1">
      <c r="A119" s="48" t="s">
        <v>363</v>
      </c>
      <c r="B119" s="365" t="s">
        <v>862</v>
      </c>
      <c r="C119" s="186" t="s">
        <v>340</v>
      </c>
      <c r="D119" s="173" t="s">
        <v>28</v>
      </c>
      <c r="E119" s="47">
        <v>21.87</v>
      </c>
      <c r="F119" s="47"/>
      <c r="G119" s="47"/>
      <c r="H119" s="47"/>
      <c r="I119" s="47"/>
      <c r="J119" s="47"/>
      <c r="K119" s="54"/>
      <c r="L119" s="11"/>
      <c r="M119" s="11"/>
      <c r="N119" s="11"/>
      <c r="O119" s="395"/>
      <c r="P119" s="372"/>
      <c r="Q119" s="11"/>
      <c r="R119" s="11"/>
      <c r="S119" s="11"/>
      <c r="T119" s="11"/>
      <c r="U119" s="252"/>
      <c r="V119" s="252"/>
    </row>
    <row r="120" spans="1:22" s="53" customFormat="1">
      <c r="A120" s="48" t="s">
        <v>364</v>
      </c>
      <c r="B120" s="48"/>
      <c r="C120" s="186" t="s">
        <v>622</v>
      </c>
      <c r="D120" s="173" t="s">
        <v>28</v>
      </c>
      <c r="E120" s="47">
        <v>31.45</v>
      </c>
      <c r="F120" s="47"/>
      <c r="G120" s="47"/>
      <c r="H120" s="47"/>
      <c r="I120" s="47"/>
      <c r="J120" s="47"/>
      <c r="K120" s="54"/>
      <c r="L120" s="11"/>
      <c r="M120" s="11"/>
      <c r="N120" s="11"/>
      <c r="O120" s="395"/>
      <c r="P120" s="372"/>
      <c r="Q120" s="11"/>
      <c r="R120" s="11"/>
      <c r="S120" s="11"/>
      <c r="T120" s="11"/>
      <c r="U120" s="252"/>
      <c r="V120" s="252"/>
    </row>
    <row r="121" spans="1:22" s="53" customFormat="1">
      <c r="A121" s="48" t="s">
        <v>365</v>
      </c>
      <c r="B121" s="365">
        <v>72557</v>
      </c>
      <c r="C121" s="186" t="s">
        <v>318</v>
      </c>
      <c r="D121" s="173" t="s">
        <v>27</v>
      </c>
      <c r="E121" s="47">
        <v>2</v>
      </c>
      <c r="F121" s="47"/>
      <c r="G121" s="47"/>
      <c r="H121" s="47"/>
      <c r="I121" s="47"/>
      <c r="J121" s="47"/>
      <c r="K121" s="54"/>
      <c r="L121" s="11"/>
      <c r="M121" s="11"/>
      <c r="N121" s="11"/>
      <c r="O121" s="395"/>
      <c r="P121" s="372"/>
      <c r="Q121" s="11"/>
      <c r="R121" s="11"/>
      <c r="S121" s="11"/>
      <c r="T121" s="11"/>
      <c r="U121" s="252"/>
      <c r="V121" s="252"/>
    </row>
    <row r="122" spans="1:22" s="53" customFormat="1">
      <c r="A122" s="48" t="s">
        <v>366</v>
      </c>
      <c r="B122" s="365">
        <v>72557</v>
      </c>
      <c r="C122" s="186" t="s">
        <v>55</v>
      </c>
      <c r="D122" s="173" t="s">
        <v>27</v>
      </c>
      <c r="E122" s="47">
        <v>15</v>
      </c>
      <c r="F122" s="47"/>
      <c r="G122" s="47"/>
      <c r="H122" s="47"/>
      <c r="I122" s="47"/>
      <c r="J122" s="47"/>
      <c r="K122" s="54"/>
      <c r="L122" s="11"/>
      <c r="M122" s="11"/>
      <c r="N122" s="11"/>
      <c r="O122" s="395"/>
      <c r="P122" s="372"/>
      <c r="Q122" s="11"/>
      <c r="R122" s="11"/>
      <c r="S122" s="11"/>
      <c r="T122" s="11"/>
      <c r="U122" s="252"/>
      <c r="V122" s="252"/>
    </row>
    <row r="123" spans="1:22" s="53" customFormat="1">
      <c r="A123" s="48" t="s">
        <v>367</v>
      </c>
      <c r="B123" s="365">
        <v>72562</v>
      </c>
      <c r="C123" s="186" t="s">
        <v>56</v>
      </c>
      <c r="D123" s="173" t="s">
        <v>27</v>
      </c>
      <c r="E123" s="47">
        <v>2</v>
      </c>
      <c r="F123" s="47"/>
      <c r="G123" s="47"/>
      <c r="H123" s="47"/>
      <c r="I123" s="47"/>
      <c r="J123" s="47"/>
      <c r="K123" s="54"/>
      <c r="L123" s="11"/>
      <c r="M123" s="11"/>
      <c r="N123" s="11"/>
      <c r="O123" s="395"/>
      <c r="P123" s="372"/>
      <c r="Q123" s="11"/>
      <c r="R123" s="11"/>
      <c r="S123" s="11"/>
      <c r="T123" s="11"/>
      <c r="U123" s="252"/>
      <c r="V123" s="252"/>
    </row>
    <row r="124" spans="1:22" s="53" customFormat="1">
      <c r="A124" s="48" t="s">
        <v>368</v>
      </c>
      <c r="B124" s="369">
        <v>72561</v>
      </c>
      <c r="C124" s="186" t="s">
        <v>57</v>
      </c>
      <c r="D124" s="173" t="s">
        <v>27</v>
      </c>
      <c r="E124" s="47">
        <v>3</v>
      </c>
      <c r="F124" s="47"/>
      <c r="G124" s="47"/>
      <c r="H124" s="47"/>
      <c r="I124" s="47"/>
      <c r="J124" s="47"/>
      <c r="K124" s="54"/>
      <c r="L124" s="11"/>
      <c r="M124" s="11"/>
      <c r="N124" s="11"/>
      <c r="O124" s="395"/>
      <c r="P124" s="372"/>
      <c r="Q124" s="11"/>
      <c r="R124" s="11"/>
      <c r="S124" s="11"/>
      <c r="T124" s="11"/>
      <c r="U124" s="252"/>
      <c r="V124" s="252"/>
    </row>
    <row r="125" spans="1:22" s="53" customFormat="1">
      <c r="A125" s="48" t="s">
        <v>369</v>
      </c>
      <c r="B125" s="369">
        <v>72560</v>
      </c>
      <c r="C125" s="186" t="s">
        <v>319</v>
      </c>
      <c r="D125" s="173" t="s">
        <v>27</v>
      </c>
      <c r="E125" s="47">
        <v>5</v>
      </c>
      <c r="F125" s="47"/>
      <c r="G125" s="47"/>
      <c r="H125" s="47"/>
      <c r="I125" s="47"/>
      <c r="J125" s="47"/>
      <c r="K125" s="54"/>
      <c r="L125" s="11"/>
      <c r="M125" s="11"/>
      <c r="N125" s="11"/>
      <c r="O125" s="395"/>
      <c r="P125" s="372"/>
      <c r="Q125" s="11"/>
      <c r="R125" s="11"/>
      <c r="S125" s="11"/>
      <c r="T125" s="11"/>
      <c r="U125" s="252"/>
      <c r="V125" s="252"/>
    </row>
    <row r="126" spans="1:22" s="53" customFormat="1">
      <c r="A126" s="48" t="s">
        <v>370</v>
      </c>
      <c r="B126" s="369">
        <v>72573</v>
      </c>
      <c r="C126" s="186" t="s">
        <v>290</v>
      </c>
      <c r="D126" s="173" t="s">
        <v>27</v>
      </c>
      <c r="E126" s="47">
        <v>12</v>
      </c>
      <c r="F126" s="47"/>
      <c r="G126" s="47"/>
      <c r="H126" s="47"/>
      <c r="I126" s="47"/>
      <c r="J126" s="47"/>
      <c r="K126" s="54"/>
      <c r="L126" s="11"/>
      <c r="M126" s="11"/>
      <c r="N126" s="11"/>
      <c r="O126" s="395"/>
      <c r="P126" s="372"/>
      <c r="Q126" s="11"/>
      <c r="R126" s="11"/>
      <c r="S126" s="11"/>
      <c r="T126" s="11"/>
      <c r="U126" s="252"/>
      <c r="V126" s="252"/>
    </row>
    <row r="127" spans="1:22" s="53" customFormat="1">
      <c r="A127" s="48" t="s">
        <v>371</v>
      </c>
      <c r="B127" s="369">
        <v>72580</v>
      </c>
      <c r="C127" s="186" t="s">
        <v>291</v>
      </c>
      <c r="D127" s="173" t="s">
        <v>27</v>
      </c>
      <c r="E127" s="47">
        <v>5</v>
      </c>
      <c r="F127" s="47"/>
      <c r="G127" s="47"/>
      <c r="H127" s="47"/>
      <c r="I127" s="47"/>
      <c r="J127" s="47"/>
      <c r="K127" s="54"/>
      <c r="L127" s="11"/>
      <c r="M127" s="11"/>
      <c r="N127" s="11"/>
      <c r="O127" s="403"/>
      <c r="P127" s="372"/>
      <c r="Q127" s="11"/>
      <c r="R127" s="11"/>
      <c r="S127" s="11"/>
      <c r="T127" s="11"/>
      <c r="U127" s="252"/>
      <c r="V127" s="252"/>
    </row>
    <row r="128" spans="1:22" s="53" customFormat="1">
      <c r="A128" s="48" t="s">
        <v>372</v>
      </c>
      <c r="B128" s="48"/>
      <c r="C128" s="186" t="s">
        <v>292</v>
      </c>
      <c r="D128" s="173" t="s">
        <v>27</v>
      </c>
      <c r="E128" s="47">
        <v>22</v>
      </c>
      <c r="F128" s="47"/>
      <c r="G128" s="47"/>
      <c r="H128" s="47"/>
      <c r="I128" s="47"/>
      <c r="J128" s="47"/>
      <c r="K128" s="54"/>
      <c r="L128" s="11"/>
      <c r="M128" s="11"/>
      <c r="N128" s="11"/>
      <c r="O128" s="403"/>
      <c r="P128" s="372"/>
      <c r="Q128" s="11"/>
      <c r="R128" s="11"/>
      <c r="S128" s="11"/>
      <c r="T128" s="11"/>
      <c r="U128" s="252"/>
      <c r="V128" s="252"/>
    </row>
    <row r="129" spans="1:22" s="53" customFormat="1">
      <c r="A129" s="48" t="s">
        <v>373</v>
      </c>
      <c r="B129" s="48"/>
      <c r="C129" s="186" t="s">
        <v>615</v>
      </c>
      <c r="D129" s="173" t="s">
        <v>27</v>
      </c>
      <c r="E129" s="47">
        <v>18</v>
      </c>
      <c r="F129" s="47"/>
      <c r="G129" s="47"/>
      <c r="H129" s="47"/>
      <c r="I129" s="47"/>
      <c r="J129" s="47"/>
      <c r="K129" s="54"/>
      <c r="L129" s="11"/>
      <c r="M129" s="11"/>
      <c r="N129" s="11"/>
      <c r="O129" s="403"/>
      <c r="P129" s="372"/>
      <c r="Q129" s="11"/>
      <c r="R129" s="11"/>
      <c r="S129" s="11"/>
      <c r="T129" s="11"/>
      <c r="U129" s="252"/>
      <c r="V129" s="252"/>
    </row>
    <row r="130" spans="1:22" s="53" customFormat="1">
      <c r="A130" s="48" t="s">
        <v>374</v>
      </c>
      <c r="B130" s="48"/>
      <c r="C130" s="186" t="s">
        <v>58</v>
      </c>
      <c r="D130" s="173" t="s">
        <v>27</v>
      </c>
      <c r="E130" s="47">
        <v>5</v>
      </c>
      <c r="F130" s="47"/>
      <c r="G130" s="47"/>
      <c r="H130" s="47"/>
      <c r="I130" s="47"/>
      <c r="J130" s="47"/>
      <c r="K130" s="54"/>
      <c r="L130" s="11"/>
      <c r="M130" s="11"/>
      <c r="N130" s="11"/>
      <c r="O130" s="403"/>
      <c r="P130" s="372"/>
      <c r="Q130" s="11"/>
      <c r="R130" s="11"/>
      <c r="S130" s="11"/>
      <c r="T130" s="11"/>
      <c r="U130" s="252"/>
      <c r="V130" s="252"/>
    </row>
    <row r="131" spans="1:22" s="53" customFormat="1">
      <c r="A131" s="48" t="s">
        <v>375</v>
      </c>
      <c r="B131" s="48"/>
      <c r="C131" s="186" t="s">
        <v>293</v>
      </c>
      <c r="D131" s="173" t="s">
        <v>27</v>
      </c>
      <c r="E131" s="47">
        <v>5</v>
      </c>
      <c r="F131" s="47"/>
      <c r="G131" s="47"/>
      <c r="H131" s="47"/>
      <c r="I131" s="47"/>
      <c r="J131" s="47"/>
      <c r="K131" s="54"/>
      <c r="L131" s="11"/>
      <c r="M131" s="11"/>
      <c r="N131" s="11"/>
      <c r="O131" s="404"/>
      <c r="P131" s="372"/>
      <c r="Q131" s="11"/>
      <c r="R131" s="11"/>
      <c r="S131" s="11"/>
      <c r="T131" s="11"/>
      <c r="U131" s="252"/>
      <c r="V131" s="252"/>
    </row>
    <row r="132" spans="1:22" s="53" customFormat="1">
      <c r="A132" s="48" t="s">
        <v>376</v>
      </c>
      <c r="B132" s="48"/>
      <c r="C132" s="186" t="s">
        <v>617</v>
      </c>
      <c r="D132" s="173" t="s">
        <v>27</v>
      </c>
      <c r="E132" s="47">
        <v>5</v>
      </c>
      <c r="F132" s="47"/>
      <c r="G132" s="47"/>
      <c r="H132" s="47"/>
      <c r="I132" s="47"/>
      <c r="J132" s="47"/>
      <c r="K132" s="54"/>
      <c r="L132" s="11"/>
      <c r="M132" s="11"/>
      <c r="N132" s="11"/>
      <c r="O132" s="404"/>
      <c r="P132" s="372"/>
      <c r="Q132" s="11"/>
      <c r="R132" s="11"/>
      <c r="S132" s="11"/>
      <c r="T132" s="11"/>
      <c r="U132" s="252"/>
      <c r="V132" s="252"/>
    </row>
    <row r="133" spans="1:22" s="53" customFormat="1">
      <c r="A133" s="48" t="s">
        <v>377</v>
      </c>
      <c r="B133" s="48"/>
      <c r="C133" s="186" t="s">
        <v>60</v>
      </c>
      <c r="D133" s="173" t="s">
        <v>27</v>
      </c>
      <c r="E133" s="47">
        <v>3</v>
      </c>
      <c r="F133" s="47"/>
      <c r="G133" s="47"/>
      <c r="H133" s="47"/>
      <c r="I133" s="47"/>
      <c r="J133" s="47"/>
      <c r="K133" s="54"/>
      <c r="L133" s="11"/>
      <c r="M133" s="11"/>
      <c r="N133" s="11"/>
      <c r="O133" s="404"/>
      <c r="P133" s="372"/>
      <c r="Q133" s="11"/>
      <c r="R133" s="11"/>
      <c r="S133" s="11"/>
      <c r="T133" s="11"/>
      <c r="U133" s="252"/>
      <c r="V133" s="252"/>
    </row>
    <row r="134" spans="1:22" s="53" customFormat="1">
      <c r="A134" s="48" t="s">
        <v>378</v>
      </c>
      <c r="B134" s="48"/>
      <c r="C134" s="186" t="s">
        <v>61</v>
      </c>
      <c r="D134" s="173" t="s">
        <v>27</v>
      </c>
      <c r="E134" s="47">
        <v>2</v>
      </c>
      <c r="F134" s="47"/>
      <c r="G134" s="47"/>
      <c r="H134" s="47"/>
      <c r="I134" s="47"/>
      <c r="J134" s="47"/>
      <c r="K134" s="54"/>
      <c r="L134" s="11"/>
      <c r="M134" s="11"/>
      <c r="N134" s="11"/>
      <c r="O134" s="404"/>
      <c r="P134" s="372"/>
      <c r="Q134" s="11"/>
      <c r="R134" s="11"/>
      <c r="S134" s="11"/>
      <c r="T134" s="11"/>
      <c r="U134" s="252"/>
      <c r="V134" s="252"/>
    </row>
    <row r="135" spans="1:22" s="53" customFormat="1">
      <c r="A135" s="48" t="s">
        <v>379</v>
      </c>
      <c r="B135" s="48"/>
      <c r="C135" s="186" t="s">
        <v>294</v>
      </c>
      <c r="D135" s="173" t="s">
        <v>27</v>
      </c>
      <c r="E135" s="47">
        <v>2</v>
      </c>
      <c r="F135" s="47"/>
      <c r="G135" s="47"/>
      <c r="H135" s="47"/>
      <c r="I135" s="47"/>
      <c r="J135" s="47"/>
      <c r="K135" s="54"/>
      <c r="L135" s="11"/>
      <c r="M135" s="11"/>
      <c r="N135" s="11"/>
      <c r="O135" s="404"/>
      <c r="P135" s="372"/>
      <c r="Q135" s="11"/>
      <c r="R135" s="11"/>
      <c r="S135" s="11"/>
      <c r="T135" s="11"/>
      <c r="U135" s="252"/>
      <c r="V135" s="252"/>
    </row>
    <row r="136" spans="1:22" s="53" customFormat="1">
      <c r="A136" s="48" t="s">
        <v>385</v>
      </c>
      <c r="B136" s="48"/>
      <c r="C136" s="186" t="s">
        <v>62</v>
      </c>
      <c r="D136" s="173" t="s">
        <v>27</v>
      </c>
      <c r="E136" s="47">
        <v>2</v>
      </c>
      <c r="F136" s="47"/>
      <c r="G136" s="47"/>
      <c r="H136" s="47"/>
      <c r="I136" s="47"/>
      <c r="J136" s="47"/>
      <c r="K136" s="54"/>
      <c r="L136" s="11"/>
      <c r="M136" s="11"/>
      <c r="N136" s="11"/>
      <c r="O136" s="404"/>
      <c r="P136" s="372"/>
      <c r="Q136" s="11"/>
      <c r="R136" s="11"/>
      <c r="S136" s="11"/>
      <c r="T136" s="11"/>
      <c r="U136" s="252"/>
      <c r="V136" s="252"/>
    </row>
    <row r="137" spans="1:22" s="53" customFormat="1">
      <c r="A137" s="48" t="s">
        <v>391</v>
      </c>
      <c r="B137" s="48"/>
      <c r="C137" s="191" t="s">
        <v>323</v>
      </c>
      <c r="D137" s="173" t="s">
        <v>27</v>
      </c>
      <c r="E137" s="47">
        <v>3</v>
      </c>
      <c r="F137" s="47"/>
      <c r="G137" s="47"/>
      <c r="H137" s="47"/>
      <c r="I137" s="47"/>
      <c r="J137" s="47"/>
      <c r="K137" s="54"/>
      <c r="L137" s="11"/>
      <c r="M137" s="11"/>
      <c r="N137" s="11"/>
      <c r="O137" s="404"/>
      <c r="P137" s="372"/>
      <c r="Q137" s="11"/>
      <c r="R137" s="11"/>
      <c r="S137" s="11"/>
      <c r="T137" s="11"/>
      <c r="U137" s="252"/>
      <c r="V137" s="252"/>
    </row>
    <row r="138" spans="1:22" s="53" customFormat="1">
      <c r="A138" s="48" t="s">
        <v>392</v>
      </c>
      <c r="B138" s="48"/>
      <c r="C138" s="191" t="s">
        <v>66</v>
      </c>
      <c r="D138" s="173" t="s">
        <v>27</v>
      </c>
      <c r="E138" s="47">
        <v>1</v>
      </c>
      <c r="F138" s="47"/>
      <c r="G138" s="47"/>
      <c r="H138" s="47"/>
      <c r="I138" s="47"/>
      <c r="J138" s="47"/>
      <c r="K138" s="54"/>
      <c r="L138" s="11"/>
      <c r="M138" s="11"/>
      <c r="N138" s="11"/>
      <c r="O138" s="404"/>
      <c r="P138" s="372"/>
      <c r="Q138" s="11"/>
      <c r="R138" s="11"/>
      <c r="S138" s="11"/>
      <c r="T138" s="11"/>
      <c r="U138" s="252"/>
      <c r="V138" s="252"/>
    </row>
    <row r="139" spans="1:22" s="53" customFormat="1">
      <c r="A139" s="48" t="s">
        <v>393</v>
      </c>
      <c r="B139" s="370" t="s">
        <v>863</v>
      </c>
      <c r="C139" s="191" t="s">
        <v>296</v>
      </c>
      <c r="D139" s="173" t="s">
        <v>27</v>
      </c>
      <c r="E139" s="47">
        <v>5</v>
      </c>
      <c r="F139" s="47"/>
      <c r="G139" s="47"/>
      <c r="H139" s="47"/>
      <c r="I139" s="47"/>
      <c r="J139" s="47"/>
      <c r="K139" s="54"/>
      <c r="L139" s="11"/>
      <c r="M139" s="11"/>
      <c r="N139" s="11"/>
      <c r="O139" s="404"/>
      <c r="P139" s="373"/>
      <c r="Q139" s="11"/>
      <c r="R139" s="11"/>
      <c r="S139" s="11"/>
      <c r="T139" s="11"/>
      <c r="U139" s="252"/>
      <c r="V139" s="252"/>
    </row>
    <row r="140" spans="1:22" s="53" customFormat="1">
      <c r="A140" s="48" t="s">
        <v>394</v>
      </c>
      <c r="B140" s="48"/>
      <c r="C140" s="186" t="s">
        <v>298</v>
      </c>
      <c r="D140" s="173" t="s">
        <v>27</v>
      </c>
      <c r="E140" s="47">
        <v>5</v>
      </c>
      <c r="F140" s="47"/>
      <c r="G140" s="47"/>
      <c r="H140" s="47"/>
      <c r="I140" s="47"/>
      <c r="J140" s="47"/>
      <c r="K140" s="54"/>
      <c r="L140" s="11"/>
      <c r="M140" s="11"/>
      <c r="N140" s="11"/>
      <c r="O140" s="404"/>
      <c r="P140" s="373"/>
      <c r="Q140" s="11"/>
      <c r="R140" s="11"/>
      <c r="S140" s="11"/>
      <c r="T140" s="11"/>
      <c r="U140" s="252"/>
      <c r="V140" s="252"/>
    </row>
    <row r="141" spans="1:22" s="53" customFormat="1">
      <c r="A141" s="48" t="s">
        <v>395</v>
      </c>
      <c r="B141" s="48"/>
      <c r="C141" s="186" t="s">
        <v>63</v>
      </c>
      <c r="D141" s="173" t="s">
        <v>27</v>
      </c>
      <c r="E141" s="47">
        <v>1</v>
      </c>
      <c r="F141" s="47"/>
      <c r="G141" s="47"/>
      <c r="H141" s="47"/>
      <c r="I141" s="47"/>
      <c r="J141" s="47"/>
      <c r="K141" s="54"/>
      <c r="L141" s="11"/>
      <c r="M141" s="11"/>
      <c r="N141" s="11"/>
      <c r="O141" s="401"/>
      <c r="P141" s="373"/>
      <c r="Q141" s="11"/>
      <c r="R141" s="11"/>
      <c r="S141" s="11"/>
      <c r="T141" s="11"/>
      <c r="U141" s="252"/>
      <c r="V141" s="252"/>
    </row>
    <row r="142" spans="1:22" s="53" customFormat="1">
      <c r="A142" s="48" t="s">
        <v>396</v>
      </c>
      <c r="B142" s="328" t="s">
        <v>848</v>
      </c>
      <c r="C142" s="357" t="s">
        <v>838</v>
      </c>
      <c r="D142" s="334" t="s">
        <v>27</v>
      </c>
      <c r="E142" s="54">
        <v>1</v>
      </c>
      <c r="F142" s="47"/>
      <c r="G142" s="47"/>
      <c r="H142" s="47"/>
      <c r="I142" s="47"/>
      <c r="J142" s="47"/>
      <c r="K142" s="54"/>
      <c r="L142" s="11"/>
      <c r="M142" s="11"/>
      <c r="N142" s="11"/>
      <c r="O142" s="404"/>
      <c r="P142" s="372"/>
      <c r="Q142" s="11"/>
      <c r="R142" s="11"/>
      <c r="S142" s="11"/>
      <c r="T142" s="11"/>
      <c r="U142" s="252"/>
      <c r="V142" s="252"/>
    </row>
    <row r="143" spans="1:22" s="53" customFormat="1">
      <c r="A143" s="48" t="s">
        <v>397</v>
      </c>
      <c r="B143" s="48"/>
      <c r="C143" s="186" t="s">
        <v>325</v>
      </c>
      <c r="D143" s="173" t="s">
        <v>27</v>
      </c>
      <c r="E143" s="47">
        <v>1</v>
      </c>
      <c r="F143" s="47"/>
      <c r="G143" s="47"/>
      <c r="H143" s="47"/>
      <c r="I143" s="47"/>
      <c r="J143" s="47"/>
      <c r="K143" s="54"/>
      <c r="L143" s="11"/>
      <c r="M143" s="11"/>
      <c r="N143" s="11"/>
      <c r="O143" s="404"/>
      <c r="P143" s="372"/>
      <c r="Q143" s="11"/>
      <c r="R143" s="11"/>
      <c r="S143" s="11"/>
      <c r="T143" s="11"/>
      <c r="U143" s="252"/>
      <c r="V143" s="252"/>
    </row>
    <row r="144" spans="1:22" s="53" customFormat="1">
      <c r="A144" s="48" t="s">
        <v>398</v>
      </c>
      <c r="B144" s="48"/>
      <c r="C144" s="186" t="s">
        <v>600</v>
      </c>
      <c r="D144" s="173" t="s">
        <v>27</v>
      </c>
      <c r="E144" s="47">
        <v>1</v>
      </c>
      <c r="F144" s="47"/>
      <c r="G144" s="47"/>
      <c r="H144" s="47"/>
      <c r="I144" s="47"/>
      <c r="J144" s="47"/>
      <c r="K144" s="54"/>
      <c r="L144" s="11"/>
      <c r="M144" s="11"/>
      <c r="N144" s="11"/>
      <c r="O144" s="404"/>
      <c r="P144" s="372"/>
      <c r="Q144" s="11"/>
      <c r="R144" s="11"/>
      <c r="S144" s="11"/>
      <c r="T144" s="11"/>
      <c r="U144" s="252"/>
      <c r="V144" s="252"/>
    </row>
    <row r="145" spans="1:22" s="53" customFormat="1" ht="24.75">
      <c r="A145" s="48" t="s">
        <v>399</v>
      </c>
      <c r="B145" s="48"/>
      <c r="C145" s="191" t="s">
        <v>642</v>
      </c>
      <c r="D145" s="173" t="s">
        <v>27</v>
      </c>
      <c r="E145" s="47">
        <v>1</v>
      </c>
      <c r="F145" s="47"/>
      <c r="G145" s="47"/>
      <c r="H145" s="47"/>
      <c r="I145" s="47"/>
      <c r="J145" s="47"/>
      <c r="K145" s="54"/>
      <c r="L145" s="11"/>
      <c r="M145" s="11"/>
      <c r="N145" s="11"/>
      <c r="O145" s="404"/>
      <c r="P145" s="372"/>
      <c r="Q145" s="11"/>
      <c r="R145" s="11"/>
      <c r="S145" s="11"/>
      <c r="T145" s="11"/>
      <c r="U145" s="252"/>
      <c r="V145" s="252"/>
    </row>
    <row r="146" spans="1:22" s="53" customFormat="1">
      <c r="A146" s="48" t="s">
        <v>412</v>
      </c>
      <c r="B146" s="48"/>
      <c r="C146" s="186" t="s">
        <v>303</v>
      </c>
      <c r="D146" s="173" t="s">
        <v>27</v>
      </c>
      <c r="E146" s="47">
        <v>13</v>
      </c>
      <c r="F146" s="47"/>
      <c r="G146" s="47"/>
      <c r="H146" s="47"/>
      <c r="I146" s="47"/>
      <c r="J146" s="47"/>
      <c r="K146" s="54"/>
      <c r="L146" s="11"/>
      <c r="M146" s="11"/>
      <c r="N146" s="11"/>
      <c r="O146" s="404"/>
      <c r="P146" s="372"/>
      <c r="Q146" s="11"/>
      <c r="R146" s="11"/>
      <c r="S146" s="11"/>
      <c r="T146" s="11"/>
      <c r="U146" s="252"/>
      <c r="V146" s="252"/>
    </row>
    <row r="147" spans="1:22" s="332" customFormat="1">
      <c r="A147" s="48" t="s">
        <v>413</v>
      </c>
      <c r="B147" s="292"/>
      <c r="C147" s="357" t="s">
        <v>866</v>
      </c>
      <c r="D147" s="334" t="s">
        <v>27</v>
      </c>
      <c r="E147" s="54">
        <v>1</v>
      </c>
      <c r="F147" s="291"/>
      <c r="G147" s="291"/>
      <c r="H147" s="291"/>
      <c r="I147" s="291"/>
      <c r="J147" s="291"/>
      <c r="K147" s="291"/>
      <c r="L147" s="293"/>
      <c r="M147" s="293"/>
      <c r="N147" s="11"/>
      <c r="O147" s="404"/>
      <c r="P147" s="372"/>
      <c r="Q147" s="11"/>
      <c r="R147" s="293"/>
      <c r="S147" s="293"/>
      <c r="T147" s="293"/>
      <c r="U147" s="405"/>
      <c r="V147" s="405"/>
    </row>
    <row r="148" spans="1:22" s="332" customFormat="1">
      <c r="A148" s="48" t="s">
        <v>414</v>
      </c>
      <c r="B148" s="292"/>
      <c r="C148" s="357" t="s">
        <v>867</v>
      </c>
      <c r="D148" s="334" t="s">
        <v>27</v>
      </c>
      <c r="E148" s="54">
        <v>1</v>
      </c>
      <c r="F148" s="291"/>
      <c r="G148" s="291"/>
      <c r="H148" s="291"/>
      <c r="I148" s="291"/>
      <c r="J148" s="291"/>
      <c r="K148" s="291"/>
      <c r="L148" s="293"/>
      <c r="M148" s="293"/>
      <c r="N148" s="11"/>
      <c r="O148" s="404"/>
      <c r="P148" s="372"/>
      <c r="Q148" s="11"/>
      <c r="R148" s="293"/>
      <c r="S148" s="293"/>
      <c r="T148" s="293"/>
      <c r="U148" s="405"/>
      <c r="V148" s="405"/>
    </row>
    <row r="149" spans="1:22" s="332" customFormat="1">
      <c r="A149" s="48" t="s">
        <v>414</v>
      </c>
      <c r="B149" s="292"/>
      <c r="C149" s="357" t="s">
        <v>868</v>
      </c>
      <c r="D149" s="334" t="s">
        <v>27</v>
      </c>
      <c r="E149" s="54">
        <v>3</v>
      </c>
      <c r="F149" s="291"/>
      <c r="G149" s="291"/>
      <c r="H149" s="291"/>
      <c r="I149" s="291"/>
      <c r="J149" s="291"/>
      <c r="K149" s="291"/>
      <c r="L149" s="293"/>
      <c r="M149" s="293"/>
      <c r="N149" s="11"/>
      <c r="O149" s="404"/>
      <c r="P149" s="372"/>
      <c r="Q149" s="11"/>
      <c r="R149" s="293"/>
      <c r="S149" s="293"/>
      <c r="T149" s="293"/>
      <c r="U149" s="405"/>
      <c r="V149" s="405"/>
    </row>
    <row r="150" spans="1:22" s="332" customFormat="1">
      <c r="A150" s="48" t="s">
        <v>415</v>
      </c>
      <c r="B150" s="292"/>
      <c r="C150" s="357" t="s">
        <v>869</v>
      </c>
      <c r="D150" s="334" t="s">
        <v>27</v>
      </c>
      <c r="E150" s="54">
        <v>1</v>
      </c>
      <c r="F150" s="291"/>
      <c r="G150" s="291"/>
      <c r="H150" s="291"/>
      <c r="I150" s="291"/>
      <c r="J150" s="291"/>
      <c r="K150" s="291"/>
      <c r="L150" s="293"/>
      <c r="M150" s="293"/>
      <c r="N150" s="11"/>
      <c r="O150" s="404"/>
      <c r="P150" s="372"/>
      <c r="Q150" s="11"/>
      <c r="R150" s="293"/>
      <c r="S150" s="293"/>
      <c r="T150" s="293"/>
      <c r="U150" s="405"/>
      <c r="V150" s="405"/>
    </row>
    <row r="151" spans="1:22" s="53" customFormat="1">
      <c r="A151" s="48" t="s">
        <v>416</v>
      </c>
      <c r="B151" s="48"/>
      <c r="C151" s="186" t="s">
        <v>636</v>
      </c>
      <c r="D151" s="173" t="s">
        <v>27</v>
      </c>
      <c r="E151" s="47">
        <v>5</v>
      </c>
      <c r="F151" s="47"/>
      <c r="G151" s="47"/>
      <c r="H151" s="47"/>
      <c r="I151" s="47"/>
      <c r="J151" s="47"/>
      <c r="K151" s="54"/>
      <c r="L151" s="11"/>
      <c r="M151" s="11"/>
      <c r="N151" s="11"/>
      <c r="O151" s="404"/>
      <c r="P151" s="372"/>
      <c r="Q151" s="11"/>
      <c r="R151" s="11"/>
      <c r="S151" s="11"/>
      <c r="T151" s="11"/>
      <c r="U151" s="252"/>
      <c r="V151" s="252"/>
    </row>
    <row r="152" spans="1:22" s="53" customFormat="1">
      <c r="A152" s="48" t="s">
        <v>417</v>
      </c>
      <c r="B152" s="48"/>
      <c r="C152" s="186" t="s">
        <v>625</v>
      </c>
      <c r="D152" s="173" t="s">
        <v>27</v>
      </c>
      <c r="E152" s="47">
        <v>1</v>
      </c>
      <c r="F152" s="47"/>
      <c r="G152" s="47"/>
      <c r="H152" s="47"/>
      <c r="I152" s="47"/>
      <c r="J152" s="47"/>
      <c r="K152" s="54"/>
      <c r="L152" s="11"/>
      <c r="M152" s="11"/>
      <c r="N152" s="11"/>
      <c r="O152" s="404"/>
      <c r="P152" s="372"/>
      <c r="Q152" s="11"/>
      <c r="R152" s="11"/>
      <c r="S152" s="11"/>
      <c r="T152" s="11"/>
      <c r="U152" s="252"/>
      <c r="V152" s="252"/>
    </row>
    <row r="153" spans="1:22" s="53" customFormat="1">
      <c r="A153" s="48" t="s">
        <v>418</v>
      </c>
      <c r="B153" s="48"/>
      <c r="C153" s="186" t="s">
        <v>626</v>
      </c>
      <c r="D153" s="173" t="s">
        <v>27</v>
      </c>
      <c r="E153" s="47">
        <v>1</v>
      </c>
      <c r="F153" s="47"/>
      <c r="G153" s="47"/>
      <c r="H153" s="47"/>
      <c r="I153" s="47"/>
      <c r="J153" s="47"/>
      <c r="K153" s="54"/>
      <c r="L153" s="11"/>
      <c r="M153" s="11"/>
      <c r="N153" s="11"/>
      <c r="O153" s="402"/>
      <c r="P153" s="383"/>
      <c r="Q153" s="11"/>
      <c r="R153" s="11"/>
      <c r="S153" s="11"/>
      <c r="T153" s="11"/>
      <c r="U153" s="252"/>
      <c r="V153" s="252"/>
    </row>
    <row r="154" spans="1:22" s="53" customFormat="1">
      <c r="A154" s="48" t="s">
        <v>419</v>
      </c>
      <c r="B154" s="48"/>
      <c r="C154" s="186" t="s">
        <v>627</v>
      </c>
      <c r="D154" s="173" t="s">
        <v>27</v>
      </c>
      <c r="E154" s="47">
        <v>2</v>
      </c>
      <c r="F154" s="47"/>
      <c r="G154" s="47"/>
      <c r="H154" s="47"/>
      <c r="I154" s="47"/>
      <c r="J154" s="47"/>
      <c r="K154" s="54"/>
      <c r="L154" s="11"/>
      <c r="M154" s="11"/>
      <c r="N154" s="11"/>
      <c r="O154" s="404"/>
      <c r="P154" s="372"/>
      <c r="Q154" s="11"/>
      <c r="R154" s="11"/>
      <c r="S154" s="11"/>
      <c r="T154" s="11"/>
      <c r="U154" s="252"/>
      <c r="V154" s="252"/>
    </row>
    <row r="155" spans="1:22" s="53" customFormat="1">
      <c r="A155" s="48" t="s">
        <v>420</v>
      </c>
      <c r="B155" s="380" t="s">
        <v>836</v>
      </c>
      <c r="C155" s="381" t="s">
        <v>837</v>
      </c>
      <c r="D155" s="213" t="s">
        <v>28</v>
      </c>
      <c r="E155" s="47">
        <v>8</v>
      </c>
      <c r="F155" s="47"/>
      <c r="G155" s="47"/>
      <c r="H155" s="47"/>
      <c r="I155" s="47"/>
      <c r="J155" s="47"/>
      <c r="K155" s="54"/>
      <c r="L155" s="11"/>
      <c r="M155" s="11"/>
      <c r="N155" s="11"/>
      <c r="O155" s="404"/>
      <c r="P155" s="372"/>
      <c r="Q155" s="11"/>
      <c r="R155" s="11"/>
      <c r="S155" s="11"/>
      <c r="T155" s="11"/>
      <c r="U155" s="252"/>
      <c r="V155" s="252"/>
    </row>
    <row r="156" spans="1:22">
      <c r="A156" s="479" t="s">
        <v>139</v>
      </c>
      <c r="B156" s="480"/>
      <c r="C156" s="480"/>
      <c r="D156" s="480"/>
      <c r="E156" s="480"/>
      <c r="F156" s="480"/>
      <c r="G156" s="480"/>
      <c r="H156" s="480"/>
      <c r="I156" s="481"/>
      <c r="J156" s="23"/>
      <c r="K156" s="39"/>
      <c r="L156" s="11"/>
      <c r="M156" s="11"/>
      <c r="N156" s="11"/>
      <c r="O156" s="404"/>
      <c r="P156" s="372"/>
      <c r="Q156" s="11"/>
      <c r="R156" s="11"/>
      <c r="S156" s="11"/>
      <c r="T156" s="11"/>
      <c r="U156" s="12"/>
      <c r="V156" s="12"/>
    </row>
    <row r="157" spans="1:22" s="74" customFormat="1">
      <c r="A157" s="70" t="s">
        <v>113</v>
      </c>
      <c r="B157" s="477" t="s">
        <v>114</v>
      </c>
      <c r="C157" s="478"/>
      <c r="D157" s="478"/>
      <c r="E157" s="478"/>
      <c r="F157" s="478"/>
      <c r="G157" s="478"/>
      <c r="H157" s="478"/>
      <c r="I157" s="478"/>
      <c r="J157" s="478"/>
      <c r="K157" s="478"/>
      <c r="L157" s="78"/>
      <c r="M157" s="73"/>
      <c r="N157" s="11"/>
      <c r="O157" s="404"/>
      <c r="P157" s="372"/>
      <c r="Q157" s="11"/>
      <c r="R157" s="73"/>
      <c r="S157" s="73"/>
      <c r="T157" s="73"/>
      <c r="U157" s="73"/>
      <c r="V157" s="73"/>
    </row>
    <row r="158" spans="1:22" s="154" customFormat="1" ht="14.25">
      <c r="A158" s="124" t="s">
        <v>115</v>
      </c>
      <c r="B158" s="180">
        <v>72075</v>
      </c>
      <c r="C158" s="183" t="s">
        <v>342</v>
      </c>
      <c r="D158" s="182" t="s">
        <v>29</v>
      </c>
      <c r="E158" s="117">
        <f>E175+E178+E179+E183</f>
        <v>1402.0527500000001</v>
      </c>
      <c r="F158" s="183"/>
      <c r="G158" s="47"/>
      <c r="H158" s="183"/>
      <c r="I158" s="47"/>
      <c r="J158" s="47"/>
      <c r="K158" s="47"/>
      <c r="L158" s="120"/>
      <c r="M158" s="121"/>
      <c r="N158" s="11"/>
      <c r="O158" s="402"/>
      <c r="P158" s="383"/>
      <c r="Q158" s="11"/>
      <c r="R158" s="121"/>
      <c r="S158" s="121"/>
      <c r="T158" s="121"/>
      <c r="U158" s="121"/>
      <c r="V158" s="121"/>
    </row>
    <row r="159" spans="1:22" s="74" customFormat="1">
      <c r="A159" s="462" t="s">
        <v>117</v>
      </c>
      <c r="B159" s="463"/>
      <c r="C159" s="463"/>
      <c r="D159" s="463"/>
      <c r="E159" s="463"/>
      <c r="F159" s="463"/>
      <c r="G159" s="463"/>
      <c r="H159" s="463"/>
      <c r="I159" s="464"/>
      <c r="J159" s="23"/>
      <c r="K159" s="23"/>
      <c r="L159" s="79"/>
      <c r="M159" s="73"/>
      <c r="N159" s="11"/>
      <c r="O159" s="11"/>
      <c r="P159" s="11"/>
      <c r="Q159" s="11"/>
      <c r="R159" s="73"/>
      <c r="S159" s="73"/>
      <c r="T159" s="73"/>
      <c r="U159" s="73"/>
      <c r="V159" s="73"/>
    </row>
    <row r="160" spans="1:22">
      <c r="A160" s="60" t="s">
        <v>140</v>
      </c>
      <c r="B160" s="458" t="s">
        <v>118</v>
      </c>
      <c r="C160" s="459"/>
      <c r="D160" s="459"/>
      <c r="E160" s="459"/>
      <c r="F160" s="459"/>
      <c r="G160" s="459"/>
      <c r="H160" s="459"/>
      <c r="I160" s="459"/>
      <c r="J160" s="459"/>
      <c r="K160" s="473"/>
      <c r="L160" s="11"/>
      <c r="M160" s="11"/>
      <c r="N160" s="11"/>
      <c r="O160" s="11"/>
      <c r="P160" s="11"/>
      <c r="Q160" s="11"/>
      <c r="R160" s="11"/>
      <c r="S160" s="11"/>
      <c r="T160" s="11"/>
      <c r="U160" s="12"/>
      <c r="V160" s="12"/>
    </row>
    <row r="161" spans="1:20" s="53" customFormat="1">
      <c r="A161" s="96" t="s">
        <v>380</v>
      </c>
      <c r="B161" s="96"/>
      <c r="C161" s="97" t="s">
        <v>304</v>
      </c>
      <c r="D161" s="92" t="s">
        <v>27</v>
      </c>
      <c r="E161" s="95">
        <v>2</v>
      </c>
      <c r="F161" s="95"/>
      <c r="G161" s="95"/>
      <c r="H161" s="95"/>
      <c r="I161" s="95"/>
      <c r="J161" s="47"/>
      <c r="K161" s="47"/>
      <c r="L161" s="11"/>
      <c r="M161" s="11"/>
      <c r="N161" s="11"/>
      <c r="O161" s="11"/>
      <c r="P161" s="11"/>
      <c r="Q161" s="11"/>
      <c r="R161" s="11"/>
      <c r="S161" s="11"/>
      <c r="T161" s="11"/>
    </row>
    <row r="162" spans="1:20" s="53" customFormat="1">
      <c r="A162" s="96" t="s">
        <v>381</v>
      </c>
      <c r="B162" s="96"/>
      <c r="C162" s="97" t="s">
        <v>305</v>
      </c>
      <c r="D162" s="92" t="s">
        <v>27</v>
      </c>
      <c r="E162" s="95">
        <v>1</v>
      </c>
      <c r="F162" s="95"/>
      <c r="G162" s="95"/>
      <c r="H162" s="95"/>
      <c r="I162" s="95"/>
      <c r="J162" s="47"/>
      <c r="K162" s="47"/>
      <c r="L162" s="11"/>
      <c r="M162" s="11"/>
      <c r="N162" s="11"/>
      <c r="O162" s="11"/>
      <c r="P162" s="11"/>
      <c r="Q162" s="11"/>
      <c r="R162" s="11"/>
      <c r="S162" s="11"/>
      <c r="T162" s="11"/>
    </row>
    <row r="163" spans="1:20" s="53" customFormat="1">
      <c r="A163" s="96" t="s">
        <v>384</v>
      </c>
      <c r="B163" s="96"/>
      <c r="C163" s="97" t="s">
        <v>327</v>
      </c>
      <c r="D163" s="92" t="s">
        <v>27</v>
      </c>
      <c r="E163" s="95">
        <v>1</v>
      </c>
      <c r="F163" s="95"/>
      <c r="G163" s="95"/>
      <c r="H163" s="95"/>
      <c r="I163" s="95"/>
      <c r="J163" s="47"/>
      <c r="K163" s="47"/>
      <c r="L163" s="11"/>
      <c r="M163" s="11"/>
      <c r="N163" s="11"/>
      <c r="O163" s="11"/>
      <c r="P163" s="11"/>
      <c r="Q163" s="11"/>
      <c r="R163" s="11"/>
      <c r="S163" s="11"/>
      <c r="T163" s="11"/>
    </row>
    <row r="164" spans="1:20" s="53" customFormat="1">
      <c r="A164" s="126" t="s">
        <v>408</v>
      </c>
      <c r="B164" s="126"/>
      <c r="C164" s="97" t="s">
        <v>307</v>
      </c>
      <c r="D164" s="92" t="s">
        <v>28</v>
      </c>
      <c r="E164" s="95">
        <v>7</v>
      </c>
      <c r="F164" s="95"/>
      <c r="G164" s="95"/>
      <c r="H164" s="95"/>
      <c r="I164" s="95"/>
      <c r="J164" s="47"/>
      <c r="K164" s="47"/>
      <c r="L164" s="11"/>
      <c r="M164" s="11"/>
      <c r="N164" s="11"/>
      <c r="O164" s="11"/>
      <c r="P164" s="11"/>
      <c r="Q164" s="11"/>
      <c r="R164" s="11"/>
      <c r="S164" s="11"/>
      <c r="T164" s="11"/>
    </row>
    <row r="165" spans="1:20" s="53" customFormat="1">
      <c r="A165" s="126" t="s">
        <v>409</v>
      </c>
      <c r="B165" s="126"/>
      <c r="C165" s="97" t="s">
        <v>308</v>
      </c>
      <c r="D165" s="92" t="s">
        <v>27</v>
      </c>
      <c r="E165" s="95">
        <v>1</v>
      </c>
      <c r="F165" s="95"/>
      <c r="G165" s="95"/>
      <c r="H165" s="95"/>
      <c r="I165" s="95"/>
      <c r="J165" s="47"/>
      <c r="K165" s="47"/>
      <c r="L165" s="11"/>
      <c r="M165" s="11"/>
      <c r="N165" s="11"/>
      <c r="O165" s="11"/>
      <c r="P165" s="11"/>
      <c r="Q165" s="11"/>
      <c r="R165" s="11"/>
      <c r="S165" s="11"/>
      <c r="T165" s="11"/>
    </row>
    <row r="166" spans="1:20" s="53" customFormat="1">
      <c r="A166" s="126" t="s">
        <v>410</v>
      </c>
      <c r="B166" s="126"/>
      <c r="C166" s="97" t="s">
        <v>309</v>
      </c>
      <c r="D166" s="92" t="s">
        <v>27</v>
      </c>
      <c r="E166" s="95">
        <v>1</v>
      </c>
      <c r="F166" s="95"/>
      <c r="G166" s="95"/>
      <c r="H166" s="95"/>
      <c r="I166" s="95"/>
      <c r="J166" s="47"/>
      <c r="K166" s="47"/>
      <c r="L166" s="11"/>
      <c r="M166" s="11"/>
      <c r="N166" s="11"/>
      <c r="O166" s="11"/>
      <c r="P166" s="11"/>
      <c r="Q166" s="11"/>
      <c r="R166" s="11"/>
      <c r="S166" s="11"/>
      <c r="T166" s="11"/>
    </row>
    <row r="167" spans="1:20" s="53" customFormat="1">
      <c r="A167" s="126" t="s">
        <v>411</v>
      </c>
      <c r="B167" s="182" t="s">
        <v>252</v>
      </c>
      <c r="C167" s="97" t="s">
        <v>513</v>
      </c>
      <c r="D167" s="92" t="s">
        <v>27</v>
      </c>
      <c r="E167" s="95">
        <v>4</v>
      </c>
      <c r="F167" s="95"/>
      <c r="G167" s="95"/>
      <c r="H167" s="95"/>
      <c r="I167" s="95"/>
      <c r="J167" s="47"/>
      <c r="K167" s="47"/>
      <c r="L167" s="11"/>
      <c r="M167" s="11"/>
      <c r="N167" s="11"/>
      <c r="O167" s="11"/>
      <c r="P167" s="11"/>
      <c r="Q167" s="11"/>
      <c r="R167" s="11"/>
      <c r="S167" s="11"/>
      <c r="T167" s="11"/>
    </row>
    <row r="168" spans="1:20" s="53" customFormat="1">
      <c r="A168" s="126" t="s">
        <v>474</v>
      </c>
      <c r="B168" s="96"/>
      <c r="C168" s="210" t="s">
        <v>310</v>
      </c>
      <c r="D168" s="92" t="s">
        <v>27</v>
      </c>
      <c r="E168" s="47">
        <v>4</v>
      </c>
      <c r="F168" s="47"/>
      <c r="G168" s="95"/>
      <c r="H168" s="47"/>
      <c r="I168" s="95"/>
      <c r="J168" s="47"/>
      <c r="K168" s="47"/>
      <c r="L168" s="11"/>
      <c r="M168" s="11"/>
      <c r="N168" s="11"/>
      <c r="O168" s="11"/>
      <c r="P168" s="11"/>
      <c r="Q168" s="11"/>
      <c r="R168" s="11"/>
      <c r="S168" s="11"/>
      <c r="T168" s="11"/>
    </row>
    <row r="169" spans="1:20">
      <c r="A169" s="479" t="s">
        <v>141</v>
      </c>
      <c r="B169" s="480"/>
      <c r="C169" s="480"/>
      <c r="D169" s="480"/>
      <c r="E169" s="480"/>
      <c r="F169" s="480"/>
      <c r="G169" s="480"/>
      <c r="H169" s="480"/>
      <c r="I169" s="481"/>
      <c r="J169" s="23"/>
      <c r="K169" s="39"/>
    </row>
    <row r="170" spans="1:20">
      <c r="A170" s="60" t="s">
        <v>142</v>
      </c>
      <c r="B170" s="458" t="s">
        <v>7</v>
      </c>
      <c r="C170" s="459"/>
      <c r="D170" s="459"/>
      <c r="E170" s="459"/>
      <c r="F170" s="459"/>
      <c r="G170" s="459"/>
      <c r="H170" s="459"/>
      <c r="I170" s="459"/>
      <c r="J170" s="459"/>
      <c r="K170" s="473"/>
      <c r="L170" s="11"/>
      <c r="M170" s="11"/>
      <c r="N170" s="11"/>
      <c r="O170" s="11"/>
      <c r="P170" s="11"/>
      <c r="Q170" s="11"/>
      <c r="R170" s="11"/>
      <c r="S170" s="11"/>
      <c r="T170" s="11"/>
    </row>
    <row r="171" spans="1:20" s="53" customFormat="1" ht="24.75">
      <c r="A171" s="48" t="s">
        <v>143</v>
      </c>
      <c r="B171" s="197">
        <v>5974</v>
      </c>
      <c r="C171" s="58" t="s">
        <v>209</v>
      </c>
      <c r="D171" s="50" t="s">
        <v>29</v>
      </c>
      <c r="E171" s="295">
        <f>(E55+E56+E57)*2</f>
        <v>1475.6</v>
      </c>
      <c r="F171" s="47"/>
      <c r="G171" s="47"/>
      <c r="H171" s="47"/>
      <c r="I171" s="47"/>
      <c r="J171" s="47"/>
      <c r="K171" s="47"/>
      <c r="L171" s="11"/>
      <c r="M171" s="11"/>
      <c r="N171" s="11"/>
      <c r="O171" s="11"/>
      <c r="P171" s="11"/>
      <c r="Q171" s="11"/>
      <c r="R171" s="11"/>
      <c r="S171" s="11"/>
      <c r="T171" s="11"/>
    </row>
    <row r="172" spans="1:20" s="53" customFormat="1" ht="24.75">
      <c r="A172" s="48" t="s">
        <v>144</v>
      </c>
      <c r="B172" s="197">
        <v>5975</v>
      </c>
      <c r="C172" s="58" t="s">
        <v>210</v>
      </c>
      <c r="D172" s="50" t="s">
        <v>29</v>
      </c>
      <c r="E172" s="295">
        <f>E13-(15.25*16)</f>
        <v>306.19000000000005</v>
      </c>
      <c r="F172" s="47"/>
      <c r="G172" s="47"/>
      <c r="H172" s="47"/>
      <c r="I172" s="47"/>
      <c r="J172" s="47"/>
      <c r="K172" s="47"/>
      <c r="L172" s="11"/>
      <c r="M172" s="11"/>
      <c r="N172" s="11"/>
      <c r="O172" s="11"/>
      <c r="P172" s="11"/>
      <c r="Q172" s="11"/>
      <c r="R172" s="11"/>
      <c r="S172" s="11"/>
      <c r="T172" s="11"/>
    </row>
    <row r="173" spans="1:20" s="53" customFormat="1" ht="24.75">
      <c r="A173" s="48" t="s">
        <v>145</v>
      </c>
      <c r="B173" s="197">
        <v>5982</v>
      </c>
      <c r="C173" s="58" t="s">
        <v>211</v>
      </c>
      <c r="D173" s="50" t="s">
        <v>29</v>
      </c>
      <c r="E173" s="295">
        <f>E172</f>
        <v>306.19000000000005</v>
      </c>
      <c r="F173" s="47"/>
      <c r="G173" s="47"/>
      <c r="H173" s="47"/>
      <c r="I173" s="47"/>
      <c r="J173" s="47"/>
      <c r="K173" s="47"/>
      <c r="L173" s="11"/>
      <c r="M173" s="11"/>
      <c r="N173" s="11"/>
      <c r="O173" s="11"/>
      <c r="P173" s="11"/>
      <c r="Q173" s="11"/>
      <c r="R173" s="11"/>
      <c r="S173" s="11"/>
      <c r="T173" s="11"/>
    </row>
    <row r="174" spans="1:20" s="53" customFormat="1" ht="24.75">
      <c r="A174" s="48" t="s">
        <v>146</v>
      </c>
      <c r="B174" s="197">
        <v>5992</v>
      </c>
      <c r="C174" s="58" t="s">
        <v>212</v>
      </c>
      <c r="D174" s="50" t="s">
        <v>29</v>
      </c>
      <c r="E174" s="295">
        <f>E171</f>
        <v>1475.6</v>
      </c>
      <c r="F174" s="47"/>
      <c r="G174" s="47"/>
      <c r="H174" s="47"/>
      <c r="I174" s="47"/>
      <c r="J174" s="47"/>
      <c r="K174" s="47"/>
      <c r="L174" s="11"/>
      <c r="M174" s="11"/>
      <c r="N174" s="11"/>
      <c r="O174" s="11"/>
      <c r="P174" s="11"/>
      <c r="Q174" s="11"/>
      <c r="R174" s="11"/>
      <c r="S174" s="11"/>
      <c r="T174" s="11"/>
    </row>
    <row r="175" spans="1:20" s="53" customFormat="1" ht="24.75">
      <c r="A175" s="48" t="s">
        <v>149</v>
      </c>
      <c r="B175" s="197" t="s">
        <v>213</v>
      </c>
      <c r="C175" s="58" t="s">
        <v>214</v>
      </c>
      <c r="D175" s="50" t="s">
        <v>29</v>
      </c>
      <c r="E175" s="47">
        <f>(2.85*(6.7+10.85+1.75+1.75))*1.1</f>
        <v>65.99175000000001</v>
      </c>
      <c r="F175" s="47"/>
      <c r="G175" s="47"/>
      <c r="H175" s="47"/>
      <c r="I175" s="47"/>
      <c r="J175" s="47"/>
      <c r="K175" s="47"/>
      <c r="L175" s="11"/>
      <c r="M175" s="11"/>
      <c r="N175" s="11"/>
      <c r="O175" s="11"/>
      <c r="P175" s="11"/>
      <c r="Q175" s="11"/>
      <c r="R175" s="11"/>
      <c r="S175" s="11"/>
      <c r="T175" s="11"/>
    </row>
    <row r="176" spans="1:20" s="53" customFormat="1" ht="15" customHeight="1">
      <c r="A176" s="48" t="s">
        <v>150</v>
      </c>
      <c r="B176" s="180">
        <v>9536</v>
      </c>
      <c r="C176" s="167" t="s">
        <v>507</v>
      </c>
      <c r="D176" s="165" t="s">
        <v>29</v>
      </c>
      <c r="E176" s="289">
        <f>(8.36*4)+(4.48*2)</f>
        <v>42.4</v>
      </c>
      <c r="F176" s="117"/>
      <c r="G176" s="117"/>
      <c r="H176" s="117"/>
      <c r="I176" s="117"/>
      <c r="J176" s="117"/>
      <c r="K176" s="47"/>
      <c r="L176" s="11"/>
      <c r="M176" s="11"/>
      <c r="N176" s="11"/>
      <c r="O176" s="11"/>
      <c r="P176" s="11"/>
      <c r="Q176" s="11"/>
      <c r="R176" s="11"/>
      <c r="S176" s="11"/>
      <c r="T176" s="11"/>
    </row>
    <row r="177" spans="1:21" s="53" customFormat="1" ht="15" customHeight="1">
      <c r="A177" s="48" t="s">
        <v>382</v>
      </c>
      <c r="B177" s="297" t="s">
        <v>840</v>
      </c>
      <c r="C177" s="296" t="s">
        <v>841</v>
      </c>
      <c r="D177" s="298" t="s">
        <v>29</v>
      </c>
      <c r="E177" s="331">
        <v>493.19</v>
      </c>
      <c r="F177" s="117"/>
      <c r="G177" s="117"/>
      <c r="H177" s="117"/>
      <c r="I177" s="117"/>
      <c r="J177" s="117"/>
      <c r="K177" s="47"/>
      <c r="L177" s="11"/>
      <c r="M177" s="11"/>
      <c r="N177" s="11"/>
      <c r="O177" s="11"/>
      <c r="P177" s="11"/>
      <c r="Q177" s="11"/>
      <c r="R177" s="11"/>
      <c r="S177" s="11"/>
      <c r="T177" s="11"/>
    </row>
    <row r="178" spans="1:21" s="53" customFormat="1" ht="24" customHeight="1">
      <c r="A178" s="48" t="s">
        <v>383</v>
      </c>
      <c r="B178" s="197" t="s">
        <v>215</v>
      </c>
      <c r="C178" s="237" t="s">
        <v>216</v>
      </c>
      <c r="D178" s="50" t="s">
        <v>29</v>
      </c>
      <c r="E178" s="49">
        <f>6.43+2.8+3.19</f>
        <v>12.42</v>
      </c>
      <c r="F178" s="47"/>
      <c r="G178" s="47"/>
      <c r="H178" s="47"/>
      <c r="I178" s="47"/>
      <c r="J178" s="47"/>
      <c r="K178" s="47"/>
      <c r="L178" s="11"/>
      <c r="M178" s="11"/>
      <c r="N178" s="11"/>
      <c r="O178" s="11"/>
      <c r="P178" s="11"/>
      <c r="Q178" s="11"/>
      <c r="R178" s="11"/>
      <c r="S178" s="11"/>
      <c r="T178" s="11"/>
    </row>
    <row r="179" spans="1:21" s="53" customFormat="1" ht="24.75">
      <c r="A179" s="48" t="s">
        <v>388</v>
      </c>
      <c r="B179" s="197" t="s">
        <v>269</v>
      </c>
      <c r="C179" s="181" t="s">
        <v>270</v>
      </c>
      <c r="D179" s="50" t="s">
        <v>29</v>
      </c>
      <c r="E179" s="47">
        <f>(3.06+3.19+6.34+107.54+7.35+17.67+10.44+(6.25*16)+(13.75*16))*1.1</f>
        <v>523.14900000000011</v>
      </c>
      <c r="F179" s="47"/>
      <c r="G179" s="47"/>
      <c r="H179" s="47"/>
      <c r="I179" s="47"/>
      <c r="J179" s="47"/>
      <c r="K179" s="47"/>
      <c r="L179" s="11"/>
      <c r="M179" s="11"/>
      <c r="N179" s="11"/>
      <c r="O179" s="11"/>
      <c r="P179" s="11"/>
      <c r="Q179" s="11"/>
      <c r="R179" s="11"/>
      <c r="S179" s="11"/>
      <c r="T179" s="11"/>
    </row>
    <row r="180" spans="1:21" s="53" customFormat="1">
      <c r="A180" s="48" t="s">
        <v>475</v>
      </c>
      <c r="B180" s="197" t="s">
        <v>217</v>
      </c>
      <c r="C180" s="193" t="s">
        <v>218</v>
      </c>
      <c r="D180" s="50" t="s">
        <v>28</v>
      </c>
      <c r="E180" s="47">
        <f>((1*3.5)+(2*1.5)+(8*0.5)+(2*0.5))*1.1</f>
        <v>12.65</v>
      </c>
      <c r="F180" s="47"/>
      <c r="G180" s="47"/>
      <c r="H180" s="47"/>
      <c r="I180" s="47"/>
      <c r="J180" s="47"/>
      <c r="K180" s="47"/>
      <c r="L180" s="11"/>
      <c r="M180" s="11"/>
      <c r="N180" s="11"/>
      <c r="O180" s="11"/>
      <c r="P180" s="11"/>
      <c r="Q180" s="11"/>
      <c r="R180" s="11"/>
      <c r="S180" s="11"/>
      <c r="T180" s="11"/>
    </row>
    <row r="181" spans="1:21" s="53" customFormat="1">
      <c r="A181" s="48" t="s">
        <v>504</v>
      </c>
      <c r="B181" s="197" t="s">
        <v>219</v>
      </c>
      <c r="C181" s="194" t="s">
        <v>220</v>
      </c>
      <c r="D181" s="50" t="s">
        <v>28</v>
      </c>
      <c r="E181" s="47">
        <f>((5*0.8)+(2*1.8)+(1*0.7)+(16*0.8)+(8*0.8))*1.1</f>
        <v>30.250000000000004</v>
      </c>
      <c r="F181" s="47"/>
      <c r="G181" s="47"/>
      <c r="H181" s="47"/>
      <c r="I181" s="47"/>
      <c r="J181" s="47"/>
      <c r="K181" s="47"/>
      <c r="L181" s="11"/>
      <c r="M181" s="11"/>
      <c r="N181" s="11"/>
      <c r="O181" s="11"/>
      <c r="P181" s="11"/>
      <c r="Q181" s="11"/>
      <c r="R181" s="11"/>
      <c r="S181" s="11"/>
      <c r="T181" s="11"/>
    </row>
    <row r="182" spans="1:21" s="53" customFormat="1" ht="24">
      <c r="A182" s="48" t="s">
        <v>505</v>
      </c>
      <c r="B182" s="180" t="s">
        <v>518</v>
      </c>
      <c r="C182" s="238" t="s">
        <v>519</v>
      </c>
      <c r="D182" s="165" t="s">
        <v>28</v>
      </c>
      <c r="E182" s="303">
        <f>3.7+0.8</f>
        <v>4.5</v>
      </c>
      <c r="F182" s="117"/>
      <c r="G182" s="117"/>
      <c r="H182" s="117"/>
      <c r="I182" s="117"/>
      <c r="J182" s="117"/>
      <c r="K182" s="47"/>
      <c r="L182" s="11"/>
      <c r="M182" s="11"/>
      <c r="N182" s="11"/>
      <c r="O182" s="11"/>
      <c r="P182" s="11"/>
      <c r="Q182" s="11"/>
      <c r="R182" s="11"/>
      <c r="S182" s="11"/>
      <c r="T182" s="11"/>
    </row>
    <row r="183" spans="1:21" s="53" customFormat="1" ht="24.75">
      <c r="A183" s="48" t="s">
        <v>506</v>
      </c>
      <c r="B183" s="197" t="s">
        <v>269</v>
      </c>
      <c r="C183" s="300" t="s">
        <v>694</v>
      </c>
      <c r="D183" s="50" t="s">
        <v>29</v>
      </c>
      <c r="E183" s="295">
        <f>(1.4*((10*16)+(13.8*16)+(24.2*2)+18.3+12.1+10.9+(12.2*2)+10.75+7.15+7))*1.1</f>
        <v>800.49199999999996</v>
      </c>
      <c r="F183" s="47"/>
      <c r="G183" s="47"/>
      <c r="H183" s="47"/>
      <c r="I183" s="47"/>
      <c r="J183" s="47"/>
      <c r="K183" s="47"/>
      <c r="L183" s="11"/>
      <c r="M183" s="11"/>
      <c r="N183" s="11"/>
      <c r="O183" s="11"/>
      <c r="P183" s="11"/>
      <c r="Q183" s="11"/>
      <c r="R183" s="11"/>
      <c r="S183" s="11"/>
      <c r="T183" s="11"/>
    </row>
    <row r="184" spans="1:21">
      <c r="A184" s="479" t="s">
        <v>151</v>
      </c>
      <c r="B184" s="480"/>
      <c r="C184" s="480"/>
      <c r="D184" s="480"/>
      <c r="E184" s="480"/>
      <c r="F184" s="480"/>
      <c r="G184" s="480"/>
      <c r="H184" s="480"/>
      <c r="I184" s="481"/>
      <c r="J184" s="22"/>
      <c r="K184" s="22"/>
      <c r="L184" s="77"/>
      <c r="M184" s="11"/>
      <c r="N184" s="11"/>
      <c r="O184" s="11"/>
      <c r="P184" s="11"/>
      <c r="Q184" s="11"/>
      <c r="R184" s="11"/>
      <c r="S184" s="11"/>
      <c r="T184" s="11"/>
    </row>
    <row r="185" spans="1:21" s="74" customFormat="1">
      <c r="A185" s="70" t="s">
        <v>132</v>
      </c>
      <c r="B185" s="448" t="s">
        <v>133</v>
      </c>
      <c r="C185" s="449"/>
      <c r="D185" s="449"/>
      <c r="E185" s="449"/>
      <c r="F185" s="449"/>
      <c r="G185" s="449"/>
      <c r="H185" s="449"/>
      <c r="I185" s="449"/>
      <c r="J185" s="449"/>
      <c r="K185" s="449"/>
      <c r="L185" s="78"/>
      <c r="M185" s="73"/>
      <c r="N185" s="73"/>
      <c r="O185" s="73"/>
      <c r="P185" s="73"/>
      <c r="Q185" s="73"/>
      <c r="R185" s="73"/>
      <c r="S185" s="73"/>
      <c r="T185" s="73"/>
      <c r="U185" s="73"/>
    </row>
    <row r="186" spans="1:21" s="81" customFormat="1">
      <c r="A186" s="80" t="s">
        <v>134</v>
      </c>
      <c r="B186" s="211">
        <v>72120</v>
      </c>
      <c r="C186" s="200" t="s">
        <v>224</v>
      </c>
      <c r="D186" s="92" t="s">
        <v>29</v>
      </c>
      <c r="E186" s="295">
        <f>E62</f>
        <v>13.695</v>
      </c>
      <c r="F186" s="47"/>
      <c r="G186" s="47"/>
      <c r="H186" s="47"/>
      <c r="I186" s="47"/>
      <c r="J186" s="47"/>
      <c r="K186" s="47"/>
      <c r="L186" s="78"/>
      <c r="M186" s="73"/>
      <c r="N186" s="73"/>
      <c r="O186" s="73"/>
      <c r="P186" s="73"/>
      <c r="Q186" s="73"/>
      <c r="R186" s="73"/>
      <c r="S186" s="73"/>
      <c r="T186" s="73"/>
      <c r="U186" s="73"/>
    </row>
    <row r="187" spans="1:21" s="81" customFormat="1">
      <c r="A187" s="80" t="s">
        <v>135</v>
      </c>
      <c r="B187" s="211">
        <v>72116</v>
      </c>
      <c r="C187" s="200" t="s">
        <v>227</v>
      </c>
      <c r="D187" s="92" t="s">
        <v>29</v>
      </c>
      <c r="E187" s="47">
        <f>3.5*0.6*1</f>
        <v>2.1</v>
      </c>
      <c r="F187" s="47"/>
      <c r="G187" s="47"/>
      <c r="H187" s="47"/>
      <c r="I187" s="47"/>
      <c r="J187" s="47"/>
      <c r="K187" s="47"/>
      <c r="L187" s="78"/>
      <c r="M187" s="73"/>
      <c r="N187" s="73"/>
      <c r="O187" s="73"/>
      <c r="P187" s="73"/>
      <c r="Q187" s="73"/>
      <c r="R187" s="73"/>
      <c r="S187" s="73"/>
      <c r="T187" s="73"/>
      <c r="U187" s="73"/>
    </row>
    <row r="188" spans="1:21" s="81" customFormat="1">
      <c r="A188" s="80" t="s">
        <v>136</v>
      </c>
      <c r="B188" s="211">
        <v>72116</v>
      </c>
      <c r="C188" s="200" t="s">
        <v>271</v>
      </c>
      <c r="D188" s="92" t="s">
        <v>29</v>
      </c>
      <c r="E188" s="47">
        <f>1.5*1.2*2</f>
        <v>3.5999999999999996</v>
      </c>
      <c r="F188" s="47"/>
      <c r="G188" s="47"/>
      <c r="H188" s="47"/>
      <c r="I188" s="47"/>
      <c r="J188" s="47"/>
      <c r="K188" s="47"/>
      <c r="L188" s="78"/>
      <c r="M188" s="73"/>
      <c r="N188" s="73"/>
      <c r="O188" s="73"/>
      <c r="P188" s="73"/>
      <c r="Q188" s="73"/>
      <c r="R188" s="73"/>
      <c r="S188" s="73"/>
      <c r="T188" s="73"/>
      <c r="U188" s="73"/>
    </row>
    <row r="189" spans="1:21" s="81" customFormat="1">
      <c r="A189" s="80" t="s">
        <v>226</v>
      </c>
      <c r="B189" s="301">
        <v>72122</v>
      </c>
      <c r="C189" s="302" t="s">
        <v>688</v>
      </c>
      <c r="D189" s="92" t="s">
        <v>29</v>
      </c>
      <c r="E189" s="47">
        <f>0.5*0.6*8</f>
        <v>2.4</v>
      </c>
      <c r="F189" s="47"/>
      <c r="G189" s="47"/>
      <c r="H189" s="47"/>
      <c r="I189" s="47"/>
      <c r="J189" s="47"/>
      <c r="K189" s="47"/>
      <c r="L189" s="78"/>
      <c r="M189" s="73"/>
      <c r="N189" s="73"/>
      <c r="O189" s="73"/>
      <c r="P189" s="73"/>
      <c r="Q189" s="73"/>
      <c r="R189" s="73"/>
      <c r="S189" s="73"/>
      <c r="T189" s="73"/>
      <c r="U189" s="73"/>
    </row>
    <row r="190" spans="1:21" s="81" customFormat="1">
      <c r="A190" s="80" t="s">
        <v>228</v>
      </c>
      <c r="B190" s="211">
        <v>72116</v>
      </c>
      <c r="C190" s="200" t="s">
        <v>256</v>
      </c>
      <c r="D190" s="92" t="s">
        <v>29</v>
      </c>
      <c r="E190" s="47">
        <f>0.5*1.6*2</f>
        <v>1.6</v>
      </c>
      <c r="F190" s="47"/>
      <c r="G190" s="47"/>
      <c r="H190" s="47"/>
      <c r="I190" s="47"/>
      <c r="J190" s="47"/>
      <c r="K190" s="47"/>
      <c r="L190" s="78"/>
      <c r="M190" s="73"/>
      <c r="N190" s="73"/>
      <c r="O190" s="73"/>
      <c r="P190" s="73"/>
      <c r="Q190" s="73"/>
      <c r="R190" s="73"/>
      <c r="S190" s="73"/>
      <c r="T190" s="73"/>
      <c r="U190" s="73"/>
    </row>
    <row r="191" spans="1:21" s="74" customFormat="1">
      <c r="A191" s="450" t="s">
        <v>137</v>
      </c>
      <c r="B191" s="451"/>
      <c r="C191" s="451"/>
      <c r="D191" s="451"/>
      <c r="E191" s="451"/>
      <c r="F191" s="451"/>
      <c r="G191" s="451"/>
      <c r="H191" s="451"/>
      <c r="I191" s="452"/>
      <c r="J191" s="22"/>
      <c r="K191" s="22"/>
      <c r="L191" s="79"/>
      <c r="M191" s="73"/>
      <c r="N191" s="73"/>
      <c r="O191" s="73"/>
      <c r="P191" s="73"/>
      <c r="Q191" s="73"/>
      <c r="R191" s="73"/>
      <c r="S191" s="73"/>
      <c r="T191" s="73"/>
      <c r="U191" s="73"/>
    </row>
    <row r="192" spans="1:21" s="53" customFormat="1">
      <c r="A192" s="60" t="s">
        <v>152</v>
      </c>
      <c r="B192" s="453" t="s">
        <v>67</v>
      </c>
      <c r="C192" s="454"/>
      <c r="D192" s="454"/>
      <c r="E192" s="454"/>
      <c r="F192" s="454"/>
      <c r="G192" s="454"/>
      <c r="H192" s="454"/>
      <c r="I192" s="454"/>
      <c r="J192" s="454"/>
      <c r="K192" s="455"/>
      <c r="L192" s="77"/>
      <c r="M192" s="11"/>
      <c r="N192" s="11"/>
      <c r="O192" s="11"/>
      <c r="P192" s="11"/>
      <c r="Q192" s="11"/>
      <c r="R192" s="11"/>
      <c r="S192" s="11"/>
      <c r="T192" s="11"/>
    </row>
    <row r="193" spans="1:22" s="53" customFormat="1">
      <c r="A193" s="48" t="s">
        <v>153</v>
      </c>
      <c r="B193" s="195" t="s">
        <v>234</v>
      </c>
      <c r="C193" s="76" t="s">
        <v>235</v>
      </c>
      <c r="D193" s="50" t="s">
        <v>29</v>
      </c>
      <c r="E193" s="295">
        <f>E171+E172-(E175/1.1)-(E183/1.1)</f>
        <v>994.07749999999999</v>
      </c>
      <c r="F193" s="47"/>
      <c r="G193" s="47"/>
      <c r="H193" s="47"/>
      <c r="I193" s="47"/>
      <c r="J193" s="47"/>
      <c r="K193" s="47"/>
      <c r="L193" s="11"/>
      <c r="M193" s="11"/>
      <c r="N193" s="11"/>
      <c r="O193" s="11"/>
      <c r="P193" s="11"/>
      <c r="Q193" s="11"/>
      <c r="R193" s="11"/>
      <c r="S193" s="11"/>
      <c r="T193" s="11"/>
    </row>
    <row r="194" spans="1:22" s="53" customFormat="1">
      <c r="A194" s="48" t="s">
        <v>154</v>
      </c>
      <c r="B194" s="195" t="s">
        <v>236</v>
      </c>
      <c r="C194" s="76" t="s">
        <v>237</v>
      </c>
      <c r="D194" s="50" t="s">
        <v>29</v>
      </c>
      <c r="E194" s="295">
        <f>E193</f>
        <v>994.07749999999999</v>
      </c>
      <c r="F194" s="47"/>
      <c r="G194" s="47"/>
      <c r="H194" s="47"/>
      <c r="I194" s="47"/>
      <c r="J194" s="47"/>
      <c r="K194" s="47"/>
      <c r="L194" s="11"/>
      <c r="M194" s="11"/>
      <c r="N194" s="11"/>
      <c r="O194" s="11"/>
      <c r="P194" s="11"/>
      <c r="Q194" s="11"/>
      <c r="R194" s="11"/>
      <c r="S194" s="11"/>
      <c r="T194" s="11"/>
    </row>
    <row r="195" spans="1:22" s="53" customFormat="1">
      <c r="A195" s="48" t="s">
        <v>155</v>
      </c>
      <c r="B195" s="166" t="s">
        <v>509</v>
      </c>
      <c r="C195" s="76" t="s">
        <v>510</v>
      </c>
      <c r="D195" s="165" t="s">
        <v>29</v>
      </c>
      <c r="E195" s="117">
        <f>E176*1.15</f>
        <v>48.76</v>
      </c>
      <c r="F195" s="117"/>
      <c r="G195" s="117"/>
      <c r="H195" s="117"/>
      <c r="I195" s="117"/>
      <c r="J195" s="117"/>
      <c r="K195" s="47"/>
      <c r="L195" s="11"/>
      <c r="M195" s="11"/>
      <c r="N195" s="11"/>
      <c r="O195" s="11"/>
      <c r="P195" s="11"/>
      <c r="Q195" s="11"/>
      <c r="R195" s="11"/>
      <c r="S195" s="11"/>
      <c r="T195" s="11"/>
    </row>
    <row r="196" spans="1:22" s="53" customFormat="1">
      <c r="A196" s="48" t="s">
        <v>155</v>
      </c>
      <c r="B196" s="197">
        <v>6082</v>
      </c>
      <c r="C196" s="76" t="s">
        <v>238</v>
      </c>
      <c r="D196" s="50" t="s">
        <v>29</v>
      </c>
      <c r="E196" s="47">
        <f>(0.8*2.1*3*5)+(0.7*2.1*3*1)</f>
        <v>29.610000000000003</v>
      </c>
      <c r="F196" s="47"/>
      <c r="G196" s="47"/>
      <c r="H196" s="47"/>
      <c r="I196" s="47"/>
      <c r="J196" s="47"/>
      <c r="K196" s="47"/>
      <c r="L196" s="11"/>
      <c r="M196" s="11"/>
      <c r="N196" s="11"/>
      <c r="O196" s="11"/>
      <c r="P196" s="11"/>
      <c r="Q196" s="11"/>
      <c r="R196" s="11"/>
      <c r="S196" s="11"/>
      <c r="T196" s="11"/>
    </row>
    <row r="197" spans="1:22" s="53" customFormat="1">
      <c r="A197" s="479" t="s">
        <v>156</v>
      </c>
      <c r="B197" s="480"/>
      <c r="C197" s="480"/>
      <c r="D197" s="480"/>
      <c r="E197" s="480"/>
      <c r="F197" s="480"/>
      <c r="G197" s="480"/>
      <c r="H197" s="480"/>
      <c r="I197" s="481"/>
      <c r="J197" s="23"/>
      <c r="K197" s="23"/>
      <c r="L197" s="77"/>
      <c r="M197" s="11"/>
      <c r="N197" s="11"/>
      <c r="O197" s="11"/>
      <c r="P197" s="11"/>
      <c r="Q197" s="11"/>
      <c r="R197" s="11"/>
      <c r="S197" s="11"/>
      <c r="T197" s="11"/>
    </row>
    <row r="198" spans="1:22" s="74" customFormat="1">
      <c r="A198" s="70" t="s">
        <v>158</v>
      </c>
      <c r="B198" s="477" t="s">
        <v>120</v>
      </c>
      <c r="C198" s="478"/>
      <c r="D198" s="478"/>
      <c r="E198" s="478"/>
      <c r="F198" s="478"/>
      <c r="G198" s="478"/>
      <c r="H198" s="478"/>
      <c r="I198" s="478"/>
      <c r="J198" s="478"/>
      <c r="K198" s="478"/>
      <c r="L198" s="78"/>
      <c r="M198" s="73"/>
      <c r="N198" s="73"/>
      <c r="O198" s="73"/>
      <c r="P198" s="73"/>
      <c r="Q198" s="73"/>
      <c r="R198" s="73"/>
      <c r="S198" s="73"/>
      <c r="T198" s="73"/>
      <c r="U198" s="73"/>
      <c r="V198" s="73"/>
    </row>
    <row r="199" spans="1:22" s="74" customFormat="1">
      <c r="A199" s="70" t="s">
        <v>157</v>
      </c>
      <c r="B199" s="241" t="s">
        <v>440</v>
      </c>
      <c r="C199" s="122" t="s">
        <v>531</v>
      </c>
      <c r="D199" s="123" t="s">
        <v>29</v>
      </c>
      <c r="E199" s="183">
        <f>645.04-557.7</f>
        <v>87.339999999999918</v>
      </c>
      <c r="F199" s="242"/>
      <c r="G199" s="117"/>
      <c r="H199" s="117"/>
      <c r="I199" s="117"/>
      <c r="J199" s="117"/>
      <c r="K199" s="117"/>
      <c r="L199" s="78"/>
      <c r="M199" s="73"/>
      <c r="N199" s="73"/>
      <c r="O199" s="73"/>
      <c r="P199" s="73"/>
      <c r="Q199" s="73"/>
      <c r="R199" s="73"/>
      <c r="S199" s="73"/>
      <c r="T199" s="73"/>
      <c r="U199" s="73"/>
      <c r="V199" s="73"/>
    </row>
    <row r="200" spans="1:22" s="74" customFormat="1">
      <c r="A200" s="462" t="s">
        <v>161</v>
      </c>
      <c r="B200" s="463"/>
      <c r="C200" s="463"/>
      <c r="D200" s="463"/>
      <c r="E200" s="463"/>
      <c r="F200" s="463"/>
      <c r="G200" s="463"/>
      <c r="H200" s="463"/>
      <c r="I200" s="464"/>
      <c r="J200" s="23"/>
      <c r="K200" s="23"/>
      <c r="L200" s="79"/>
      <c r="M200" s="73"/>
      <c r="N200" s="73"/>
      <c r="O200" s="73"/>
      <c r="P200" s="73"/>
      <c r="Q200" s="73"/>
      <c r="R200" s="73"/>
      <c r="S200" s="73"/>
      <c r="T200" s="73"/>
      <c r="U200" s="73"/>
      <c r="V200" s="73"/>
    </row>
    <row r="201" spans="1:22">
      <c r="A201" s="60" t="s">
        <v>119</v>
      </c>
      <c r="B201" s="458" t="s">
        <v>25</v>
      </c>
      <c r="C201" s="459"/>
      <c r="D201" s="459"/>
      <c r="E201" s="459"/>
      <c r="F201" s="459"/>
      <c r="G201" s="459"/>
      <c r="H201" s="459"/>
      <c r="I201" s="459"/>
      <c r="J201" s="459"/>
      <c r="K201" s="459"/>
      <c r="L201" s="83"/>
    </row>
    <row r="202" spans="1:22" s="53" customFormat="1">
      <c r="A202" s="48" t="s">
        <v>121</v>
      </c>
      <c r="B202" s="197">
        <v>9537</v>
      </c>
      <c r="C202" s="11" t="s">
        <v>239</v>
      </c>
      <c r="D202" s="50" t="s">
        <v>29</v>
      </c>
      <c r="E202" s="295">
        <f>E13</f>
        <v>550.19000000000005</v>
      </c>
      <c r="F202" s="47"/>
      <c r="G202" s="47"/>
      <c r="H202" s="47"/>
      <c r="I202" s="47"/>
      <c r="J202" s="47"/>
      <c r="K202" s="47"/>
    </row>
    <row r="203" spans="1:22">
      <c r="A203" s="479" t="s">
        <v>124</v>
      </c>
      <c r="B203" s="480"/>
      <c r="C203" s="480"/>
      <c r="D203" s="480"/>
      <c r="E203" s="480"/>
      <c r="F203" s="480"/>
      <c r="G203" s="480"/>
      <c r="H203" s="480"/>
      <c r="I203" s="481"/>
      <c r="J203" s="23"/>
      <c r="K203" s="39"/>
    </row>
    <row r="204" spans="1:22" s="26" customFormat="1">
      <c r="A204" s="20"/>
      <c r="B204" s="75"/>
      <c r="C204" s="460"/>
      <c r="D204" s="460"/>
      <c r="E204" s="460"/>
      <c r="F204" s="460"/>
      <c r="G204" s="460"/>
      <c r="H204" s="460"/>
      <c r="I204" s="460"/>
      <c r="J204" s="460"/>
      <c r="K204" s="461"/>
    </row>
    <row r="205" spans="1:22" s="69" customFormat="1" ht="15.75">
      <c r="A205" s="445" t="s">
        <v>14</v>
      </c>
      <c r="B205" s="446"/>
      <c r="C205" s="446"/>
      <c r="D205" s="446"/>
      <c r="E205" s="446"/>
      <c r="F205" s="446"/>
      <c r="G205" s="446"/>
      <c r="H205" s="446"/>
      <c r="I205" s="447"/>
      <c r="J205" s="68"/>
      <c r="K205" s="68"/>
    </row>
    <row r="207" spans="1:22">
      <c r="H207" s="43"/>
      <c r="I207" s="12"/>
    </row>
    <row r="208" spans="1:22">
      <c r="I208" s="31"/>
    </row>
    <row r="210" spans="1:10">
      <c r="A210" s="28"/>
      <c r="B210" s="28"/>
      <c r="C210" s="28"/>
      <c r="D210" s="29"/>
      <c r="E210" s="30"/>
      <c r="F210" s="28"/>
      <c r="G210" s="28"/>
      <c r="H210" s="28"/>
      <c r="I210" s="28"/>
      <c r="J210" s="28"/>
    </row>
    <row r="211" spans="1:10">
      <c r="A211" s="28"/>
      <c r="B211" s="28"/>
      <c r="C211" s="28"/>
      <c r="D211" s="29"/>
      <c r="E211" s="30"/>
      <c r="F211" s="28"/>
      <c r="G211" s="30"/>
      <c r="H211" s="28"/>
      <c r="I211" s="30"/>
      <c r="J211" s="30"/>
    </row>
    <row r="212" spans="1:10">
      <c r="A212" s="28"/>
      <c r="B212" s="28"/>
      <c r="C212" s="28"/>
      <c r="D212" s="29"/>
      <c r="E212" s="30"/>
      <c r="F212" s="28"/>
      <c r="G212" s="30"/>
      <c r="H212" s="28"/>
      <c r="I212" s="30"/>
      <c r="J212" s="30"/>
    </row>
    <row r="213" spans="1:10">
      <c r="A213" s="28"/>
      <c r="B213" s="28"/>
      <c r="C213" s="28"/>
      <c r="D213" s="29"/>
      <c r="E213" s="30"/>
      <c r="F213" s="28"/>
      <c r="G213" s="30"/>
      <c r="H213" s="28"/>
      <c r="I213" s="30"/>
      <c r="J213" s="30"/>
    </row>
    <row r="214" spans="1:10">
      <c r="A214" s="28"/>
      <c r="B214" s="28"/>
      <c r="C214" s="28"/>
      <c r="D214" s="29"/>
      <c r="E214" s="30"/>
      <c r="F214" s="28"/>
      <c r="G214" s="30"/>
      <c r="H214" s="28"/>
      <c r="I214" s="30"/>
      <c r="J214" s="30"/>
    </row>
    <row r="215" spans="1:10">
      <c r="A215" s="28"/>
      <c r="B215" s="28"/>
      <c r="C215" s="28"/>
      <c r="D215" s="29"/>
      <c r="E215" s="30"/>
      <c r="F215" s="28"/>
      <c r="G215" s="30"/>
      <c r="H215" s="28"/>
      <c r="I215" s="30"/>
      <c r="J215" s="30"/>
    </row>
    <row r="216" spans="1:10">
      <c r="A216" s="28"/>
      <c r="B216" s="28"/>
      <c r="C216" s="28"/>
      <c r="D216" s="29"/>
      <c r="E216" s="30"/>
      <c r="F216" s="28"/>
      <c r="G216" s="30"/>
      <c r="H216" s="28"/>
      <c r="I216" s="30"/>
      <c r="J216" s="30"/>
    </row>
    <row r="217" spans="1:10">
      <c r="A217" s="28"/>
      <c r="B217" s="28"/>
      <c r="C217" s="28"/>
      <c r="D217" s="29"/>
      <c r="E217" s="30"/>
      <c r="F217" s="28"/>
      <c r="G217" s="30"/>
      <c r="H217" s="28"/>
      <c r="I217" s="30"/>
      <c r="J217" s="30"/>
    </row>
    <row r="218" spans="1:10">
      <c r="A218" s="28"/>
      <c r="B218" s="28"/>
      <c r="C218" s="28"/>
      <c r="D218" s="29"/>
      <c r="E218" s="30"/>
      <c r="F218" s="28"/>
      <c r="G218" s="30"/>
      <c r="H218" s="28"/>
      <c r="I218" s="30"/>
      <c r="J218" s="30"/>
    </row>
    <row r="219" spans="1:10">
      <c r="A219" s="31"/>
      <c r="B219" s="31"/>
      <c r="C219" s="31"/>
      <c r="D219" s="32"/>
      <c r="E219" s="45"/>
      <c r="F219" s="31"/>
      <c r="G219" s="31"/>
      <c r="H219" s="31"/>
      <c r="I219" s="31"/>
      <c r="J219" s="31"/>
    </row>
    <row r="220" spans="1:10">
      <c r="A220" s="28"/>
      <c r="B220" s="28"/>
      <c r="C220" s="28"/>
      <c r="D220" s="29"/>
      <c r="E220" s="30"/>
      <c r="F220" s="28"/>
      <c r="G220" s="30"/>
      <c r="H220" s="28"/>
      <c r="I220" s="30"/>
      <c r="J220" s="30"/>
    </row>
    <row r="221" spans="1:10">
      <c r="A221" s="28"/>
      <c r="B221" s="28"/>
      <c r="C221" s="28"/>
      <c r="D221" s="29"/>
      <c r="E221" s="30"/>
      <c r="F221" s="28"/>
      <c r="G221" s="30"/>
      <c r="H221" s="28"/>
      <c r="I221" s="30"/>
      <c r="J221" s="30"/>
    </row>
    <row r="222" spans="1:10">
      <c r="A222" s="28"/>
      <c r="B222" s="28"/>
      <c r="C222" s="28"/>
      <c r="D222" s="29"/>
      <c r="E222" s="30"/>
      <c r="F222" s="30"/>
      <c r="G222" s="30"/>
      <c r="H222" s="28"/>
      <c r="I222" s="30"/>
      <c r="J222" s="30"/>
    </row>
    <row r="223" spans="1:10">
      <c r="A223" s="28"/>
      <c r="B223" s="28"/>
      <c r="C223" s="28"/>
      <c r="D223" s="29"/>
      <c r="E223" s="30"/>
      <c r="F223" s="30"/>
      <c r="G223" s="30"/>
      <c r="H223" s="28"/>
      <c r="I223" s="30"/>
      <c r="J223" s="30"/>
    </row>
    <row r="224" spans="1:10">
      <c r="A224" s="28"/>
      <c r="B224" s="28"/>
      <c r="C224" s="28"/>
      <c r="D224" s="29"/>
      <c r="E224" s="30"/>
      <c r="F224" s="30"/>
      <c r="G224" s="30"/>
      <c r="H224" s="28"/>
      <c r="I224" s="30"/>
      <c r="J224" s="30"/>
    </row>
    <row r="225" spans="1:11">
      <c r="A225" s="28"/>
      <c r="B225" s="28"/>
      <c r="C225" s="28"/>
      <c r="D225" s="29"/>
      <c r="E225" s="30"/>
      <c r="F225" s="30"/>
      <c r="G225" s="30"/>
      <c r="H225" s="28"/>
      <c r="I225" s="30"/>
      <c r="J225" s="30"/>
    </row>
    <row r="226" spans="1:11">
      <c r="A226" s="28"/>
      <c r="B226" s="28"/>
      <c r="C226" s="28"/>
      <c r="D226" s="29"/>
      <c r="E226" s="30"/>
      <c r="F226" s="30"/>
      <c r="G226" s="30"/>
      <c r="H226" s="28"/>
      <c r="I226" s="30"/>
      <c r="J226" s="30"/>
    </row>
    <row r="227" spans="1:11">
      <c r="A227" s="28"/>
      <c r="B227" s="28"/>
      <c r="C227" s="28"/>
      <c r="D227" s="29"/>
      <c r="E227" s="30"/>
      <c r="F227" s="30"/>
      <c r="G227" s="30"/>
      <c r="H227" s="28"/>
      <c r="I227" s="30"/>
      <c r="J227" s="30"/>
    </row>
    <row r="228" spans="1:11">
      <c r="A228" s="28"/>
      <c r="B228" s="28"/>
      <c r="C228" s="28"/>
      <c r="D228" s="29"/>
      <c r="E228" s="30"/>
      <c r="F228" s="30"/>
      <c r="G228" s="30"/>
      <c r="H228" s="30"/>
      <c r="I228" s="30"/>
      <c r="J228" s="30"/>
    </row>
    <row r="229" spans="1:11">
      <c r="A229" s="28"/>
      <c r="B229" s="28"/>
      <c r="C229" s="28"/>
      <c r="D229" s="29"/>
      <c r="E229" s="30"/>
      <c r="F229" s="28"/>
      <c r="G229" s="30"/>
      <c r="H229" s="28"/>
      <c r="I229" s="30"/>
      <c r="J229" s="30"/>
    </row>
    <row r="230" spans="1:11">
      <c r="A230" s="28"/>
      <c r="B230" s="28"/>
      <c r="C230" s="28"/>
      <c r="D230" s="29"/>
      <c r="E230" s="30"/>
      <c r="F230" s="30"/>
      <c r="G230" s="30"/>
      <c r="H230" s="28"/>
      <c r="I230" s="30"/>
      <c r="J230" s="30"/>
    </row>
    <row r="231" spans="1:11">
      <c r="A231" s="28"/>
      <c r="B231" s="28"/>
      <c r="C231" s="28"/>
      <c r="D231" s="29"/>
      <c r="E231" s="30"/>
      <c r="F231" s="30"/>
      <c r="G231" s="30"/>
      <c r="H231" s="28"/>
      <c r="I231" s="30"/>
      <c r="J231" s="30"/>
    </row>
    <row r="232" spans="1:11">
      <c r="A232" s="28"/>
      <c r="B232" s="28"/>
      <c r="C232" s="28"/>
      <c r="D232" s="29"/>
      <c r="E232" s="30"/>
      <c r="F232" s="28"/>
      <c r="G232" s="30"/>
      <c r="H232" s="28"/>
      <c r="I232" s="30"/>
      <c r="J232" s="30"/>
      <c r="K232" s="26"/>
    </row>
    <row r="233" spans="1:11">
      <c r="A233" s="33"/>
      <c r="B233" s="33"/>
      <c r="C233" s="34"/>
      <c r="D233" s="35"/>
      <c r="E233" s="46"/>
      <c r="F233" s="33"/>
      <c r="G233" s="30"/>
      <c r="H233" s="33"/>
      <c r="I233" s="30"/>
      <c r="J233" s="30"/>
    </row>
    <row r="234" spans="1:11">
      <c r="A234" s="28"/>
      <c r="B234" s="28"/>
      <c r="C234" s="28"/>
      <c r="D234" s="29"/>
      <c r="E234" s="30"/>
      <c r="F234" s="28"/>
      <c r="G234" s="30"/>
      <c r="H234" s="28"/>
      <c r="I234" s="30"/>
      <c r="J234" s="30"/>
    </row>
    <row r="235" spans="1:11">
      <c r="A235" s="28"/>
      <c r="B235" s="28"/>
      <c r="C235" s="28"/>
      <c r="D235" s="29"/>
      <c r="E235" s="30"/>
      <c r="F235" s="28"/>
      <c r="G235" s="30"/>
      <c r="H235" s="28"/>
      <c r="I235" s="30"/>
      <c r="J235" s="30"/>
    </row>
    <row r="236" spans="1:11">
      <c r="A236" s="28"/>
      <c r="B236" s="28"/>
      <c r="C236" s="28"/>
      <c r="D236" s="29"/>
      <c r="E236" s="30"/>
      <c r="F236" s="28"/>
      <c r="G236" s="30"/>
      <c r="H236" s="28"/>
      <c r="I236" s="30"/>
      <c r="J236" s="30"/>
    </row>
    <row r="237" spans="1:11">
      <c r="A237" s="28"/>
      <c r="B237" s="28"/>
      <c r="C237" s="28"/>
      <c r="D237" s="29"/>
      <c r="E237" s="30"/>
      <c r="F237" s="28"/>
      <c r="G237" s="30"/>
      <c r="H237" s="28"/>
      <c r="I237" s="30"/>
      <c r="J237" s="30"/>
    </row>
    <row r="238" spans="1:11">
      <c r="A238" s="28"/>
      <c r="B238" s="28"/>
      <c r="C238" s="28"/>
      <c r="D238" s="29"/>
      <c r="E238" s="30"/>
      <c r="F238" s="30"/>
      <c r="G238" s="30"/>
      <c r="H238" s="30"/>
      <c r="I238" s="30"/>
      <c r="J238" s="30"/>
    </row>
    <row r="239" spans="1:11">
      <c r="A239" s="31"/>
      <c r="B239" s="31"/>
      <c r="C239" s="31"/>
      <c r="D239" s="32"/>
      <c r="E239" s="45"/>
      <c r="F239" s="31"/>
      <c r="G239" s="31"/>
      <c r="H239" s="31"/>
      <c r="I239" s="31"/>
      <c r="J239" s="31"/>
    </row>
    <row r="240" spans="1:11">
      <c r="A240" s="31"/>
      <c r="B240" s="31"/>
      <c r="C240" s="31"/>
    </row>
    <row r="241" spans="1:11">
      <c r="A241" s="28"/>
      <c r="B241" s="28"/>
      <c r="C241" s="29"/>
      <c r="D241" s="28"/>
      <c r="E241" s="30"/>
      <c r="F241" s="28"/>
      <c r="G241" s="28"/>
      <c r="H241" s="28"/>
      <c r="I241" s="28"/>
      <c r="J241" s="28"/>
      <c r="K241" s="12"/>
    </row>
    <row r="242" spans="1:11">
      <c r="A242" s="28"/>
      <c r="B242" s="28"/>
      <c r="C242" s="28"/>
      <c r="D242" s="29"/>
      <c r="E242" s="30"/>
      <c r="F242" s="30"/>
      <c r="G242" s="30"/>
      <c r="H242" s="30"/>
      <c r="I242" s="30"/>
      <c r="J242" s="30"/>
      <c r="K242" s="28"/>
    </row>
    <row r="243" spans="1:11">
      <c r="A243" s="28"/>
      <c r="B243" s="28"/>
      <c r="C243" s="28"/>
      <c r="D243" s="29"/>
      <c r="E243" s="30"/>
      <c r="F243" s="30"/>
      <c r="G243" s="30"/>
      <c r="H243" s="30"/>
      <c r="I243" s="30"/>
      <c r="J243" s="30"/>
      <c r="K243" s="28"/>
    </row>
    <row r="244" spans="1:11">
      <c r="A244" s="28"/>
      <c r="B244" s="28"/>
      <c r="C244" s="28"/>
      <c r="D244" s="29"/>
      <c r="E244" s="30"/>
      <c r="F244" s="30"/>
      <c r="G244" s="30"/>
      <c r="H244" s="30"/>
      <c r="I244" s="30"/>
      <c r="J244" s="30"/>
      <c r="K244" s="28"/>
    </row>
    <row r="245" spans="1:11">
      <c r="A245" s="28"/>
      <c r="B245" s="28"/>
      <c r="C245" s="28"/>
      <c r="D245" s="29"/>
      <c r="E245" s="30"/>
      <c r="F245" s="30"/>
      <c r="G245" s="30"/>
      <c r="H245" s="30"/>
      <c r="I245" s="30"/>
      <c r="J245" s="30"/>
      <c r="K245" s="28"/>
    </row>
    <row r="246" spans="1:11">
      <c r="A246" s="28"/>
      <c r="B246" s="28"/>
      <c r="C246" s="28"/>
      <c r="D246" s="29"/>
      <c r="E246" s="30"/>
      <c r="F246" s="30"/>
      <c r="G246" s="30"/>
      <c r="H246" s="30"/>
      <c r="I246" s="30"/>
      <c r="J246" s="30"/>
      <c r="K246" s="28"/>
    </row>
    <row r="247" spans="1:11">
      <c r="A247" s="28"/>
      <c r="B247" s="28"/>
      <c r="C247" s="28"/>
      <c r="D247" s="29"/>
      <c r="E247" s="30"/>
      <c r="F247" s="30"/>
      <c r="G247" s="30"/>
      <c r="H247" s="30"/>
      <c r="I247" s="30"/>
      <c r="J247" s="30"/>
      <c r="K247" s="28"/>
    </row>
    <row r="248" spans="1:11">
      <c r="A248" s="28"/>
      <c r="B248" s="28"/>
      <c r="C248" s="28"/>
      <c r="D248" s="29"/>
      <c r="E248" s="30"/>
      <c r="F248" s="30"/>
      <c r="G248" s="30"/>
      <c r="H248" s="30"/>
      <c r="I248" s="30"/>
      <c r="J248" s="30"/>
      <c r="K248" s="28"/>
    </row>
    <row r="249" spans="1:11">
      <c r="A249" s="28"/>
      <c r="B249" s="28"/>
      <c r="C249" s="28"/>
      <c r="D249" s="29"/>
      <c r="E249" s="30"/>
      <c r="F249" s="30"/>
      <c r="G249" s="30"/>
      <c r="H249" s="30"/>
      <c r="I249" s="30"/>
      <c r="J249" s="30"/>
      <c r="K249" s="28"/>
    </row>
    <row r="250" spans="1:11">
      <c r="A250" s="28"/>
      <c r="B250" s="28"/>
      <c r="C250" s="28"/>
      <c r="D250" s="29"/>
      <c r="E250" s="30"/>
      <c r="F250" s="30"/>
      <c r="G250" s="30"/>
      <c r="H250" s="30"/>
      <c r="I250" s="30"/>
      <c r="J250" s="30"/>
      <c r="K250" s="28"/>
    </row>
    <row r="251" spans="1:11">
      <c r="A251" s="28"/>
      <c r="B251" s="28"/>
      <c r="C251" s="28"/>
      <c r="D251" s="29"/>
      <c r="E251" s="30"/>
      <c r="F251" s="30"/>
      <c r="G251" s="30"/>
      <c r="H251" s="30"/>
      <c r="I251" s="30"/>
      <c r="J251" s="30"/>
      <c r="K251" s="28"/>
    </row>
    <row r="252" spans="1:11">
      <c r="A252" s="28"/>
      <c r="B252" s="28"/>
      <c r="C252" s="28"/>
      <c r="D252" s="29"/>
      <c r="E252" s="30"/>
      <c r="F252" s="30"/>
      <c r="G252" s="30"/>
      <c r="H252" s="30"/>
      <c r="I252" s="30"/>
      <c r="J252" s="30"/>
      <c r="K252" s="28"/>
    </row>
    <row r="253" spans="1:11">
      <c r="A253" s="28"/>
      <c r="B253" s="28"/>
      <c r="C253" s="28"/>
      <c r="D253" s="29"/>
      <c r="E253" s="30"/>
      <c r="F253" s="30"/>
      <c r="G253" s="30"/>
      <c r="H253" s="30"/>
      <c r="I253" s="30"/>
      <c r="J253" s="30"/>
      <c r="K253" s="28"/>
    </row>
    <row r="254" spans="1:11">
      <c r="A254" s="28"/>
      <c r="B254" s="28"/>
      <c r="C254" s="28"/>
      <c r="D254" s="29"/>
      <c r="E254" s="30"/>
      <c r="F254" s="30"/>
      <c r="G254" s="30"/>
      <c r="H254" s="30"/>
      <c r="I254" s="30"/>
      <c r="J254" s="30"/>
      <c r="K254" s="28"/>
    </row>
    <row r="255" spans="1:11">
      <c r="A255" s="28"/>
      <c r="B255" s="28"/>
      <c r="C255" s="28"/>
      <c r="D255" s="29"/>
      <c r="E255" s="30"/>
      <c r="F255" s="30"/>
      <c r="G255" s="30"/>
      <c r="H255" s="30"/>
      <c r="I255" s="30"/>
      <c r="J255" s="30"/>
      <c r="K255" s="28"/>
    </row>
    <row r="256" spans="1:11">
      <c r="A256" s="28"/>
      <c r="B256" s="28"/>
      <c r="C256" s="28"/>
      <c r="D256" s="29"/>
      <c r="E256" s="30"/>
      <c r="F256" s="30"/>
      <c r="G256" s="30"/>
      <c r="H256" s="30"/>
      <c r="I256" s="30"/>
      <c r="J256" s="30"/>
      <c r="K256" s="28"/>
    </row>
    <row r="257" spans="1:11">
      <c r="A257" s="28"/>
      <c r="B257" s="28"/>
      <c r="C257" s="28"/>
      <c r="D257" s="29"/>
      <c r="E257" s="30"/>
      <c r="F257" s="30"/>
      <c r="G257" s="30"/>
      <c r="H257" s="30"/>
      <c r="I257" s="30"/>
      <c r="J257" s="30"/>
      <c r="K257" s="28"/>
    </row>
    <row r="258" spans="1:11">
      <c r="A258" s="28"/>
      <c r="B258" s="28"/>
      <c r="C258" s="40"/>
      <c r="D258" s="29"/>
      <c r="E258" s="41"/>
      <c r="F258" s="30"/>
      <c r="G258" s="30"/>
      <c r="H258" s="30"/>
      <c r="I258" s="30"/>
      <c r="J258" s="30"/>
      <c r="K258" s="28"/>
    </row>
    <row r="259" spans="1:11">
      <c r="A259" s="28"/>
      <c r="B259" s="28"/>
      <c r="C259" s="40"/>
      <c r="D259" s="29"/>
      <c r="E259" s="41"/>
      <c r="F259" s="30"/>
      <c r="G259" s="30"/>
      <c r="H259" s="30"/>
      <c r="I259" s="30"/>
      <c r="J259" s="30"/>
      <c r="K259" s="28"/>
    </row>
    <row r="260" spans="1:11">
      <c r="A260" s="28"/>
      <c r="B260" s="28"/>
      <c r="C260" s="40"/>
      <c r="D260" s="29"/>
      <c r="E260" s="41"/>
      <c r="F260" s="30"/>
      <c r="G260" s="30"/>
      <c r="H260" s="30"/>
      <c r="I260" s="30"/>
      <c r="J260" s="30"/>
      <c r="K260" s="28"/>
    </row>
    <row r="261" spans="1:11">
      <c r="A261" s="28"/>
      <c r="B261" s="28"/>
      <c r="C261" s="40"/>
      <c r="D261" s="29"/>
      <c r="E261" s="41"/>
      <c r="F261" s="30"/>
      <c r="G261" s="30"/>
      <c r="H261" s="30"/>
      <c r="I261" s="30"/>
      <c r="J261" s="30"/>
      <c r="K261" s="28"/>
    </row>
    <row r="262" spans="1:11">
      <c r="A262" s="28"/>
      <c r="B262" s="28"/>
      <c r="C262" s="28"/>
      <c r="D262" s="29"/>
      <c r="E262" s="30"/>
      <c r="F262" s="30"/>
      <c r="G262" s="30"/>
      <c r="H262" s="30"/>
      <c r="I262" s="30"/>
      <c r="J262" s="30"/>
      <c r="K262" s="28"/>
    </row>
    <row r="263" spans="1:11">
      <c r="A263" s="28"/>
      <c r="B263" s="28"/>
      <c r="C263" s="28"/>
      <c r="D263" s="42"/>
      <c r="E263" s="30"/>
      <c r="F263" s="30"/>
      <c r="G263" s="30"/>
      <c r="H263" s="30"/>
      <c r="I263" s="30"/>
      <c r="J263" s="30"/>
      <c r="K263" s="28"/>
    </row>
    <row r="264" spans="1:11">
      <c r="A264" s="28"/>
      <c r="B264" s="28"/>
      <c r="C264" s="28"/>
      <c r="D264" s="29"/>
      <c r="E264" s="30"/>
      <c r="F264" s="30"/>
      <c r="G264" s="30"/>
      <c r="H264" s="30"/>
      <c r="I264" s="30"/>
      <c r="J264" s="30"/>
      <c r="K264" s="28"/>
    </row>
    <row r="265" spans="1:11">
      <c r="A265" s="28"/>
      <c r="B265" s="28"/>
      <c r="C265" s="28"/>
      <c r="D265" s="29"/>
      <c r="E265" s="30"/>
      <c r="F265" s="30"/>
      <c r="G265" s="30"/>
      <c r="H265" s="30"/>
      <c r="I265" s="30"/>
      <c r="J265" s="30"/>
      <c r="K265" s="28"/>
    </row>
    <row r="266" spans="1:11">
      <c r="A266" s="28"/>
      <c r="B266" s="28"/>
      <c r="C266" s="28"/>
      <c r="D266" s="29"/>
      <c r="E266" s="30"/>
      <c r="F266" s="30"/>
      <c r="G266" s="30"/>
      <c r="H266" s="30"/>
      <c r="I266" s="30"/>
      <c r="J266" s="30"/>
      <c r="K266" s="28"/>
    </row>
    <row r="267" spans="1:11">
      <c r="A267" s="28"/>
      <c r="B267" s="28"/>
      <c r="C267" s="28"/>
      <c r="D267" s="29"/>
      <c r="E267" s="30"/>
      <c r="F267" s="30"/>
      <c r="G267" s="30"/>
      <c r="H267" s="30"/>
      <c r="I267" s="30"/>
      <c r="J267" s="30"/>
      <c r="K267" s="28"/>
    </row>
    <row r="268" spans="1:11">
      <c r="A268" s="28"/>
      <c r="B268" s="28"/>
      <c r="C268" s="28"/>
      <c r="D268" s="29"/>
      <c r="E268" s="30"/>
      <c r="F268" s="30"/>
      <c r="G268" s="30"/>
      <c r="H268" s="30"/>
      <c r="I268" s="30"/>
      <c r="J268" s="30"/>
      <c r="K268" s="28"/>
    </row>
    <row r="269" spans="1:11">
      <c r="A269" s="28"/>
      <c r="B269" s="28"/>
      <c r="C269" s="28"/>
      <c r="D269" s="29"/>
      <c r="E269" s="30"/>
      <c r="F269" s="30"/>
      <c r="G269" s="30"/>
      <c r="H269" s="30"/>
      <c r="I269" s="30"/>
      <c r="J269" s="30"/>
      <c r="K269" s="28"/>
    </row>
    <row r="270" spans="1:11">
      <c r="A270" s="28"/>
      <c r="B270" s="28"/>
      <c r="C270" s="31"/>
      <c r="D270" s="29"/>
      <c r="E270" s="30"/>
      <c r="F270" s="30"/>
      <c r="G270" s="30"/>
      <c r="H270" s="30"/>
      <c r="I270" s="30"/>
      <c r="J270" s="30"/>
      <c r="K270" s="28"/>
    </row>
    <row r="271" spans="1:11">
      <c r="A271" s="28"/>
      <c r="B271" s="28"/>
      <c r="C271" s="28"/>
      <c r="D271" s="29"/>
      <c r="E271" s="30"/>
      <c r="F271" s="30"/>
      <c r="G271" s="30"/>
      <c r="H271" s="30"/>
      <c r="I271" s="30"/>
      <c r="J271" s="30"/>
      <c r="K271" s="28"/>
    </row>
    <row r="272" spans="1:11">
      <c r="A272" s="28"/>
      <c r="B272" s="28"/>
      <c r="C272" s="28"/>
      <c r="D272" s="29"/>
      <c r="E272" s="30"/>
      <c r="F272" s="30"/>
      <c r="G272" s="30"/>
      <c r="H272" s="30"/>
      <c r="I272" s="30"/>
      <c r="J272" s="30"/>
      <c r="K272" s="28"/>
    </row>
    <row r="273" spans="1:11">
      <c r="A273" s="28"/>
      <c r="B273" s="28"/>
      <c r="C273" s="28"/>
      <c r="D273" s="29"/>
      <c r="E273" s="30"/>
      <c r="F273" s="30"/>
      <c r="G273" s="30"/>
      <c r="H273" s="30"/>
      <c r="I273" s="30"/>
      <c r="J273" s="30"/>
      <c r="K273" s="28"/>
    </row>
    <row r="274" spans="1:11">
      <c r="A274" s="28"/>
      <c r="B274" s="28"/>
      <c r="C274" s="28"/>
      <c r="D274" s="29"/>
      <c r="E274" s="30"/>
      <c r="F274" s="30"/>
      <c r="G274" s="30"/>
      <c r="H274" s="30"/>
      <c r="I274" s="30"/>
      <c r="J274" s="30"/>
      <c r="K274" s="28"/>
    </row>
    <row r="275" spans="1:11">
      <c r="A275" s="28"/>
      <c r="B275" s="28"/>
      <c r="C275" s="28"/>
      <c r="D275" s="29"/>
      <c r="E275" s="30"/>
      <c r="F275" s="30"/>
      <c r="G275" s="30"/>
      <c r="H275" s="30"/>
      <c r="I275" s="30"/>
      <c r="J275" s="30"/>
      <c r="K275" s="28"/>
    </row>
    <row r="276" spans="1:11">
      <c r="A276" s="42"/>
      <c r="B276" s="42"/>
      <c r="C276" s="12"/>
      <c r="D276"/>
      <c r="G276" s="27"/>
    </row>
    <row r="277" spans="1:11">
      <c r="A277" s="42"/>
      <c r="B277" s="42"/>
      <c r="C277" s="12"/>
      <c r="D277"/>
    </row>
    <row r="278" spans="1:11">
      <c r="A278" s="1"/>
      <c r="B278" s="1"/>
      <c r="D278"/>
    </row>
  </sheetData>
  <mergeCells count="48">
    <mergeCell ref="A22:I22"/>
    <mergeCell ref="A1:K1"/>
    <mergeCell ref="D5:G5"/>
    <mergeCell ref="D7:G7"/>
    <mergeCell ref="A9:A10"/>
    <mergeCell ref="B9:B10"/>
    <mergeCell ref="C9:C10"/>
    <mergeCell ref="D9:D10"/>
    <mergeCell ref="E9:E10"/>
    <mergeCell ref="F9:G9"/>
    <mergeCell ref="H9:I9"/>
    <mergeCell ref="L9:O9"/>
    <mergeCell ref="P9:T9"/>
    <mergeCell ref="B11:K11"/>
    <mergeCell ref="A14:I14"/>
    <mergeCell ref="B15:K15"/>
    <mergeCell ref="A104:I104"/>
    <mergeCell ref="B23:K23"/>
    <mergeCell ref="A32:I32"/>
    <mergeCell ref="B33:K33"/>
    <mergeCell ref="A53:I53"/>
    <mergeCell ref="B54:K54"/>
    <mergeCell ref="A60:I60"/>
    <mergeCell ref="B61:K61"/>
    <mergeCell ref="A75:I75"/>
    <mergeCell ref="B76:K76"/>
    <mergeCell ref="A82:I82"/>
    <mergeCell ref="B83:K83"/>
    <mergeCell ref="A191:I191"/>
    <mergeCell ref="B105:K105"/>
    <mergeCell ref="A113:I113"/>
    <mergeCell ref="B114:K114"/>
    <mergeCell ref="A156:I156"/>
    <mergeCell ref="B157:K157"/>
    <mergeCell ref="A159:I159"/>
    <mergeCell ref="B160:K160"/>
    <mergeCell ref="A169:I169"/>
    <mergeCell ref="B170:K170"/>
    <mergeCell ref="A184:I184"/>
    <mergeCell ref="B185:K185"/>
    <mergeCell ref="C204:K204"/>
    <mergeCell ref="A205:I205"/>
    <mergeCell ref="B192:K192"/>
    <mergeCell ref="A197:I197"/>
    <mergeCell ref="B198:K198"/>
    <mergeCell ref="A200:I200"/>
    <mergeCell ref="B201:K201"/>
    <mergeCell ref="A203:I203"/>
  </mergeCells>
  <pageMargins left="0.51181102362204722" right="0.51181102362204722" top="0.78740157480314965" bottom="0.78740157480314965" header="0.31496062992125984" footer="0.31496062992125984"/>
  <pageSetup paperSize="9" scale="71" fitToHeight="10" orientation="landscape" r:id="rId1"/>
  <headerFooter>
    <oddFooter>&amp;LCANIL&amp;CPágina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91"/>
  <sheetViews>
    <sheetView zoomScale="90" zoomScaleNormal="90" workbookViewId="0">
      <pane ySplit="10" topLeftCell="A11" activePane="bottomLeft" state="frozen"/>
      <selection pane="bottomLeft" activeCell="A11" sqref="A11:XFD11"/>
    </sheetView>
  </sheetViews>
  <sheetFormatPr defaultRowHeight="15"/>
  <cols>
    <col min="1" max="1" width="5.7109375" style="2" customWidth="1"/>
    <col min="2" max="2" width="11.28515625" style="2" customWidth="1"/>
    <col min="3" max="3" width="63.7109375" customWidth="1"/>
    <col min="4" max="4" width="9.140625" style="1"/>
    <col min="5" max="5" width="10.7109375" style="27" customWidth="1"/>
    <col min="6" max="9" width="15.7109375" customWidth="1"/>
    <col min="10" max="11" width="13.140625" customWidth="1"/>
    <col min="12" max="12" width="9.42578125" bestFit="1" customWidth="1"/>
    <col min="14" max="14" width="12.5703125" customWidth="1"/>
    <col min="19" max="19" width="12.85546875" customWidth="1"/>
  </cols>
  <sheetData>
    <row r="1" spans="1:20" s="12" customFormat="1" ht="18.75">
      <c r="A1" s="490" t="s">
        <v>30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20">
      <c r="D2" s="3"/>
      <c r="E2" s="44"/>
      <c r="F2" s="1"/>
      <c r="G2" s="1"/>
      <c r="H2" s="1"/>
    </row>
    <row r="3" spans="1:20" ht="18.75">
      <c r="D3" s="51" t="s">
        <v>272</v>
      </c>
      <c r="E3" s="52"/>
      <c r="F3" s="52"/>
      <c r="G3" s="52"/>
      <c r="H3" s="6"/>
      <c r="J3" s="19"/>
      <c r="K3" s="17"/>
    </row>
    <row r="4" spans="1:20">
      <c r="D4" s="66" t="s">
        <v>511</v>
      </c>
      <c r="E4" s="67"/>
      <c r="F4" s="65"/>
      <c r="G4" s="65"/>
      <c r="H4" s="7"/>
      <c r="J4" s="18"/>
      <c r="K4" s="17"/>
    </row>
    <row r="5" spans="1:20">
      <c r="D5" s="491" t="s">
        <v>693</v>
      </c>
      <c r="E5" s="491"/>
      <c r="F5" s="491"/>
      <c r="G5" s="491"/>
      <c r="H5" s="7"/>
      <c r="J5" s="18"/>
      <c r="K5" s="17"/>
    </row>
    <row r="6" spans="1:20">
      <c r="D6" s="55" t="s">
        <v>729</v>
      </c>
      <c r="E6" s="55"/>
      <c r="F6" s="55"/>
      <c r="G6" s="55"/>
      <c r="H6" s="7"/>
      <c r="J6" s="18"/>
      <c r="K6" s="17"/>
    </row>
    <row r="7" spans="1:20">
      <c r="D7" s="491" t="s">
        <v>661</v>
      </c>
      <c r="E7" s="491"/>
      <c r="F7" s="491"/>
      <c r="G7" s="491"/>
      <c r="H7" s="7"/>
      <c r="J7" s="18"/>
      <c r="K7" s="17"/>
    </row>
    <row r="8" spans="1:20">
      <c r="J8" s="17"/>
      <c r="K8" s="17"/>
    </row>
    <row r="9" spans="1:20" s="12" customFormat="1">
      <c r="A9" s="471" t="s">
        <v>0</v>
      </c>
      <c r="B9" s="471" t="s">
        <v>125</v>
      </c>
      <c r="C9" s="471" t="s">
        <v>1</v>
      </c>
      <c r="D9" s="471" t="s">
        <v>2</v>
      </c>
      <c r="E9" s="500" t="s">
        <v>3</v>
      </c>
      <c r="F9" s="504" t="s">
        <v>22</v>
      </c>
      <c r="G9" s="505"/>
      <c r="H9" s="502" t="s">
        <v>23</v>
      </c>
      <c r="I9" s="503"/>
      <c r="J9" s="9" t="s">
        <v>19</v>
      </c>
      <c r="K9" s="16" t="s">
        <v>668</v>
      </c>
      <c r="L9" s="499"/>
      <c r="M9" s="499"/>
      <c r="N9" s="499"/>
      <c r="O9" s="499"/>
      <c r="P9" s="498"/>
      <c r="Q9" s="498"/>
      <c r="R9" s="498"/>
      <c r="S9" s="498"/>
      <c r="T9" s="498"/>
    </row>
    <row r="10" spans="1:20">
      <c r="A10" s="472"/>
      <c r="B10" s="472"/>
      <c r="C10" s="472"/>
      <c r="D10" s="472"/>
      <c r="E10" s="501"/>
      <c r="F10" s="85" t="s">
        <v>20</v>
      </c>
      <c r="G10" s="10" t="s">
        <v>21</v>
      </c>
      <c r="H10" s="10" t="s">
        <v>20</v>
      </c>
      <c r="I10" s="10" t="s">
        <v>21</v>
      </c>
      <c r="J10" s="10" t="s">
        <v>667</v>
      </c>
      <c r="K10" s="37">
        <f>E4</f>
        <v>0</v>
      </c>
      <c r="L10" s="14"/>
      <c r="M10" s="15"/>
      <c r="N10" s="15"/>
      <c r="O10" s="15"/>
      <c r="P10" s="14"/>
      <c r="Q10" s="14"/>
      <c r="R10" s="15"/>
      <c r="S10" s="15"/>
      <c r="T10" s="14"/>
    </row>
    <row r="11" spans="1:20">
      <c r="A11" s="60" t="s">
        <v>4</v>
      </c>
      <c r="B11" s="458" t="s">
        <v>24</v>
      </c>
      <c r="C11" s="459"/>
      <c r="D11" s="459"/>
      <c r="E11" s="459"/>
      <c r="F11" s="459"/>
      <c r="G11" s="459"/>
      <c r="H11" s="459"/>
      <c r="I11" s="459"/>
      <c r="J11" s="459"/>
      <c r="K11" s="473"/>
      <c r="L11" s="11"/>
      <c r="M11" s="11"/>
      <c r="N11" s="11"/>
      <c r="O11" s="11"/>
      <c r="P11" s="11"/>
      <c r="Q11" s="11"/>
      <c r="R11" s="11"/>
      <c r="S11" s="11"/>
      <c r="T11" s="11"/>
    </row>
    <row r="12" spans="1:20" s="53" customFormat="1">
      <c r="A12" s="48" t="s">
        <v>8</v>
      </c>
      <c r="B12" s="84">
        <v>73672</v>
      </c>
      <c r="C12" s="49" t="s">
        <v>163</v>
      </c>
      <c r="D12" s="50" t="s">
        <v>29</v>
      </c>
      <c r="E12" s="47">
        <v>215.94</v>
      </c>
      <c r="F12" s="47"/>
      <c r="G12" s="47"/>
      <c r="H12" s="47"/>
      <c r="I12" s="47"/>
      <c r="J12" s="47"/>
      <c r="K12" s="47"/>
      <c r="L12" s="11"/>
      <c r="M12" s="11"/>
      <c r="N12" s="11"/>
      <c r="O12" s="11"/>
      <c r="P12" s="11"/>
      <c r="Q12" s="11"/>
      <c r="R12" s="11"/>
      <c r="S12" s="11"/>
      <c r="T12" s="11"/>
    </row>
    <row r="13" spans="1:20" s="53" customFormat="1" ht="24.75">
      <c r="A13" s="48" t="s">
        <v>9</v>
      </c>
      <c r="B13" s="195" t="s">
        <v>176</v>
      </c>
      <c r="C13" s="58" t="s">
        <v>177</v>
      </c>
      <c r="D13" s="50" t="s">
        <v>29</v>
      </c>
      <c r="E13" s="47">
        <v>168.36</v>
      </c>
      <c r="F13" s="47"/>
      <c r="G13" s="47"/>
      <c r="H13" s="47"/>
      <c r="I13" s="47"/>
      <c r="J13" s="47"/>
      <c r="K13" s="47"/>
      <c r="L13" s="11"/>
      <c r="M13" s="11"/>
      <c r="N13" s="11"/>
      <c r="O13" s="11"/>
      <c r="P13" s="11"/>
      <c r="Q13" s="11"/>
      <c r="R13" s="11"/>
      <c r="S13" s="11"/>
      <c r="T13" s="11"/>
    </row>
    <row r="14" spans="1:20">
      <c r="A14" s="494" t="s">
        <v>15</v>
      </c>
      <c r="B14" s="494"/>
      <c r="C14" s="495"/>
      <c r="D14" s="495"/>
      <c r="E14" s="495"/>
      <c r="F14" s="495"/>
      <c r="G14" s="495"/>
      <c r="H14" s="495"/>
      <c r="I14" s="495"/>
      <c r="J14" s="22"/>
      <c r="K14" s="38"/>
      <c r="L14" s="11"/>
      <c r="M14" s="11"/>
      <c r="N14" s="11"/>
      <c r="O14" s="11"/>
      <c r="P14" s="11"/>
      <c r="Q14" s="11"/>
      <c r="R14" s="11"/>
      <c r="S14" s="11"/>
      <c r="T14" s="11"/>
    </row>
    <row r="15" spans="1:20">
      <c r="A15" s="60" t="s">
        <v>5</v>
      </c>
      <c r="B15" s="458" t="s">
        <v>103</v>
      </c>
      <c r="C15" s="459"/>
      <c r="D15" s="459"/>
      <c r="E15" s="459"/>
      <c r="F15" s="459"/>
      <c r="G15" s="459"/>
      <c r="H15" s="459"/>
      <c r="I15" s="459"/>
      <c r="J15" s="459"/>
      <c r="K15" s="473"/>
      <c r="L15" s="11"/>
      <c r="M15" s="11"/>
      <c r="N15" s="11"/>
      <c r="O15" s="11"/>
      <c r="P15" s="11"/>
      <c r="Q15" s="11"/>
      <c r="R15" s="11"/>
      <c r="S15" s="11"/>
      <c r="T15" s="11"/>
    </row>
    <row r="16" spans="1:20" s="53" customFormat="1">
      <c r="A16" s="59" t="s">
        <v>10</v>
      </c>
      <c r="B16" s="196" t="s">
        <v>178</v>
      </c>
      <c r="C16" s="232" t="s">
        <v>179</v>
      </c>
      <c r="D16" s="50" t="s">
        <v>47</v>
      </c>
      <c r="E16" s="47">
        <f>E12*1</f>
        <v>215.94</v>
      </c>
      <c r="F16" s="47"/>
      <c r="G16" s="47"/>
      <c r="H16" s="47"/>
      <c r="I16" s="47"/>
      <c r="J16" s="47"/>
      <c r="K16" s="47"/>
      <c r="L16" s="11"/>
      <c r="M16" s="11"/>
      <c r="N16" s="11"/>
      <c r="O16" s="11"/>
      <c r="P16" s="11"/>
      <c r="Q16" s="11"/>
      <c r="R16" s="11"/>
      <c r="S16" s="11"/>
      <c r="T16" s="11"/>
    </row>
    <row r="17" spans="1:20" s="53" customFormat="1">
      <c r="A17" s="59" t="s">
        <v>11</v>
      </c>
      <c r="B17" s="169" t="s">
        <v>493</v>
      </c>
      <c r="C17" s="232" t="s">
        <v>494</v>
      </c>
      <c r="D17" s="165" t="s">
        <v>29</v>
      </c>
      <c r="E17" s="117">
        <f>E13/1.5</f>
        <v>112.24000000000001</v>
      </c>
      <c r="F17" s="117"/>
      <c r="G17" s="117"/>
      <c r="H17" s="117"/>
      <c r="I17" s="117"/>
      <c r="J17" s="117"/>
      <c r="K17" s="47"/>
      <c r="L17" s="11"/>
      <c r="M17" s="11"/>
      <c r="N17" s="11"/>
      <c r="O17" s="11"/>
      <c r="P17" s="11"/>
      <c r="Q17" s="11"/>
      <c r="R17" s="11"/>
      <c r="S17" s="11"/>
      <c r="T17" s="11"/>
    </row>
    <row r="18" spans="1:20" s="53" customFormat="1">
      <c r="A18" s="59" t="s">
        <v>442</v>
      </c>
      <c r="B18" s="170" t="s">
        <v>826</v>
      </c>
      <c r="C18" s="232" t="s">
        <v>827</v>
      </c>
      <c r="D18" s="165" t="s">
        <v>47</v>
      </c>
      <c r="E18" s="117">
        <v>42.21</v>
      </c>
      <c r="F18" s="117"/>
      <c r="G18" s="117"/>
      <c r="H18" s="117"/>
      <c r="I18" s="117"/>
      <c r="J18" s="117"/>
      <c r="K18" s="47"/>
      <c r="L18" s="11"/>
      <c r="M18" s="11"/>
      <c r="N18" s="11"/>
      <c r="O18" s="11"/>
      <c r="P18" s="11"/>
      <c r="Q18" s="11"/>
      <c r="R18" s="11"/>
      <c r="S18" s="11"/>
      <c r="T18" s="11"/>
    </row>
    <row r="19" spans="1:20" s="53" customFormat="1">
      <c r="A19" s="59" t="s">
        <v>443</v>
      </c>
      <c r="B19" s="170" t="s">
        <v>828</v>
      </c>
      <c r="C19" s="232" t="s">
        <v>829</v>
      </c>
      <c r="D19" s="173" t="s">
        <v>29</v>
      </c>
      <c r="E19" s="117">
        <v>149.47999999999999</v>
      </c>
      <c r="F19" s="117"/>
      <c r="G19" s="117"/>
      <c r="H19" s="117"/>
      <c r="I19" s="117"/>
      <c r="J19" s="117"/>
      <c r="K19" s="47"/>
      <c r="L19" s="11"/>
      <c r="M19" s="11"/>
      <c r="N19" s="11"/>
      <c r="O19" s="11"/>
      <c r="P19" s="11"/>
      <c r="Q19" s="11"/>
      <c r="R19" s="11"/>
      <c r="S19" s="11"/>
      <c r="T19" s="11"/>
    </row>
    <row r="20" spans="1:20" s="53" customFormat="1" ht="24.75">
      <c r="A20" s="59" t="s">
        <v>444</v>
      </c>
      <c r="B20" s="170">
        <v>72915</v>
      </c>
      <c r="C20" s="232" t="s">
        <v>492</v>
      </c>
      <c r="D20" s="165" t="s">
        <v>47</v>
      </c>
      <c r="E20" s="117">
        <v>28.84</v>
      </c>
      <c r="F20" s="117"/>
      <c r="G20" s="117"/>
      <c r="H20" s="117"/>
      <c r="I20" s="117"/>
      <c r="J20" s="117"/>
      <c r="K20" s="47"/>
      <c r="L20" s="11"/>
      <c r="M20" s="11"/>
      <c r="N20" s="11"/>
      <c r="O20" s="11"/>
      <c r="P20" s="11"/>
      <c r="Q20" s="11"/>
      <c r="R20" s="11"/>
      <c r="S20" s="11"/>
      <c r="T20" s="11"/>
    </row>
    <row r="21" spans="1:20" s="155" customFormat="1" ht="14.25">
      <c r="A21" s="59" t="s">
        <v>445</v>
      </c>
      <c r="B21" s="170">
        <v>6430</v>
      </c>
      <c r="C21" s="232" t="s">
        <v>341</v>
      </c>
      <c r="D21" s="165" t="s">
        <v>47</v>
      </c>
      <c r="E21" s="117">
        <v>27.68</v>
      </c>
      <c r="F21" s="117"/>
      <c r="G21" s="117"/>
      <c r="H21" s="117"/>
      <c r="I21" s="117"/>
      <c r="J21" s="117"/>
      <c r="K21" s="47"/>
      <c r="L21" s="114"/>
      <c r="M21" s="114"/>
      <c r="N21" s="114"/>
      <c r="O21" s="114"/>
      <c r="P21" s="114"/>
      <c r="Q21" s="114"/>
      <c r="R21" s="114"/>
      <c r="S21" s="114"/>
      <c r="T21" s="114"/>
    </row>
    <row r="22" spans="1:20">
      <c r="A22" s="562" t="s">
        <v>16</v>
      </c>
      <c r="B22" s="562"/>
      <c r="C22" s="563"/>
      <c r="D22" s="563"/>
      <c r="E22" s="563"/>
      <c r="F22" s="563"/>
      <c r="G22" s="563"/>
      <c r="H22" s="563"/>
      <c r="I22" s="563"/>
      <c r="J22" s="22"/>
      <c r="K22" s="39"/>
      <c r="L22" s="11"/>
      <c r="M22" s="11"/>
      <c r="N22" s="11"/>
      <c r="O22" s="11"/>
      <c r="P22" s="11"/>
      <c r="Q22" s="11"/>
      <c r="R22" s="11"/>
      <c r="S22" s="11"/>
      <c r="T22" s="11"/>
    </row>
    <row r="23" spans="1:20">
      <c r="A23" s="60" t="s">
        <v>105</v>
      </c>
      <c r="B23" s="458" t="s">
        <v>106</v>
      </c>
      <c r="C23" s="459"/>
      <c r="D23" s="459"/>
      <c r="E23" s="459"/>
      <c r="F23" s="459"/>
      <c r="G23" s="459"/>
      <c r="H23" s="459"/>
      <c r="I23" s="459"/>
      <c r="J23" s="459"/>
      <c r="K23" s="473"/>
      <c r="L23" s="11"/>
      <c r="M23" s="11"/>
      <c r="N23" s="11"/>
      <c r="O23" s="11"/>
      <c r="P23" s="11"/>
      <c r="Q23" s="11"/>
      <c r="R23" s="11"/>
      <c r="S23" s="11"/>
      <c r="T23" s="11"/>
    </row>
    <row r="24" spans="1:20" s="53" customFormat="1">
      <c r="A24" s="48" t="s">
        <v>12</v>
      </c>
      <c r="B24" s="48"/>
      <c r="C24" s="234" t="s">
        <v>287</v>
      </c>
      <c r="D24" s="173" t="s">
        <v>29</v>
      </c>
      <c r="E24" s="172">
        <v>133.5</v>
      </c>
      <c r="F24" s="172"/>
      <c r="G24" s="172"/>
      <c r="H24" s="172"/>
      <c r="I24" s="172"/>
      <c r="J24" s="172"/>
      <c r="K24" s="172"/>
      <c r="L24" s="11"/>
      <c r="M24" s="11"/>
      <c r="N24" s="11"/>
      <c r="O24" s="11"/>
      <c r="P24" s="11"/>
      <c r="Q24" s="11"/>
      <c r="R24" s="11"/>
      <c r="S24" s="11"/>
      <c r="T24" s="11"/>
    </row>
    <row r="25" spans="1:20" s="53" customFormat="1">
      <c r="A25" s="48" t="s">
        <v>13</v>
      </c>
      <c r="B25" s="125" t="s">
        <v>904</v>
      </c>
      <c r="C25" s="234" t="s">
        <v>871</v>
      </c>
      <c r="D25" s="173" t="s">
        <v>47</v>
      </c>
      <c r="E25" s="172">
        <v>6.6</v>
      </c>
      <c r="F25" s="172"/>
      <c r="G25" s="172"/>
      <c r="H25" s="172"/>
      <c r="I25" s="172"/>
      <c r="J25" s="172"/>
      <c r="K25" s="172"/>
      <c r="L25" s="11"/>
      <c r="M25" s="11"/>
      <c r="N25" s="11"/>
      <c r="O25" s="11"/>
      <c r="P25" s="11"/>
      <c r="Q25" s="11"/>
      <c r="R25" s="11"/>
      <c r="S25" s="11"/>
      <c r="T25" s="11"/>
    </row>
    <row r="26" spans="1:20" s="53" customFormat="1">
      <c r="A26" s="48" t="s">
        <v>285</v>
      </c>
      <c r="B26" s="125" t="s">
        <v>905</v>
      </c>
      <c r="C26" s="234" t="s">
        <v>872</v>
      </c>
      <c r="D26" s="173" t="s">
        <v>47</v>
      </c>
      <c r="E26" s="172">
        <v>6.6</v>
      </c>
      <c r="F26" s="172"/>
      <c r="G26" s="172"/>
      <c r="H26" s="172"/>
      <c r="I26" s="172"/>
      <c r="J26" s="172"/>
      <c r="K26" s="172"/>
      <c r="L26" s="11"/>
      <c r="M26" s="11"/>
      <c r="N26" s="11"/>
      <c r="O26" s="11"/>
      <c r="P26" s="11"/>
      <c r="Q26" s="11"/>
      <c r="R26" s="11"/>
      <c r="S26" s="11"/>
      <c r="T26" s="11"/>
    </row>
    <row r="27" spans="1:20" s="53" customFormat="1">
      <c r="A27" s="48" t="s">
        <v>286</v>
      </c>
      <c r="B27" s="125"/>
      <c r="C27" s="234" t="s">
        <v>873</v>
      </c>
      <c r="D27" s="173" t="s">
        <v>47</v>
      </c>
      <c r="E27" s="172">
        <v>1.31</v>
      </c>
      <c r="F27" s="172"/>
      <c r="G27" s="172"/>
      <c r="H27" s="172"/>
      <c r="I27" s="172"/>
      <c r="J27" s="172"/>
      <c r="K27" s="172"/>
      <c r="L27" s="11"/>
      <c r="M27" s="11"/>
      <c r="N27" s="11"/>
      <c r="O27" s="11"/>
      <c r="P27" s="11"/>
      <c r="Q27" s="11"/>
      <c r="R27" s="11"/>
      <c r="S27" s="11"/>
      <c r="T27" s="11"/>
    </row>
    <row r="28" spans="1:20" s="53" customFormat="1">
      <c r="A28" s="48" t="s">
        <v>288</v>
      </c>
      <c r="B28" s="125"/>
      <c r="C28" s="234" t="s">
        <v>874</v>
      </c>
      <c r="D28" s="173" t="s">
        <v>47</v>
      </c>
      <c r="E28" s="172">
        <v>11.78</v>
      </c>
      <c r="F28" s="172"/>
      <c r="G28" s="172"/>
      <c r="H28" s="172"/>
      <c r="I28" s="172"/>
      <c r="J28" s="172"/>
      <c r="K28" s="172"/>
      <c r="L28" s="11"/>
      <c r="M28" s="11"/>
      <c r="N28" s="11"/>
      <c r="O28" s="11"/>
      <c r="P28" s="11"/>
      <c r="Q28" s="11"/>
      <c r="R28" s="11"/>
      <c r="S28" s="11"/>
      <c r="T28" s="11"/>
    </row>
    <row r="29" spans="1:20" s="53" customFormat="1">
      <c r="A29" s="48" t="s">
        <v>450</v>
      </c>
      <c r="B29" s="125" t="s">
        <v>905</v>
      </c>
      <c r="C29" s="234" t="s">
        <v>875</v>
      </c>
      <c r="D29" s="173" t="s">
        <v>47</v>
      </c>
      <c r="E29" s="172">
        <v>11.78</v>
      </c>
      <c r="F29" s="172"/>
      <c r="G29" s="172"/>
      <c r="H29" s="172"/>
      <c r="I29" s="172"/>
      <c r="J29" s="172"/>
      <c r="K29" s="172"/>
      <c r="L29" s="11"/>
      <c r="M29" s="11"/>
      <c r="N29" s="11"/>
      <c r="O29" s="11"/>
      <c r="P29" s="11"/>
      <c r="Q29" s="11"/>
      <c r="R29" s="11"/>
      <c r="S29" s="11"/>
      <c r="T29" s="11"/>
    </row>
    <row r="30" spans="1:20" s="53" customFormat="1">
      <c r="A30" s="48" t="s">
        <v>451</v>
      </c>
      <c r="B30" s="125"/>
      <c r="C30" s="234" t="s">
        <v>876</v>
      </c>
      <c r="D30" s="173" t="s">
        <v>29</v>
      </c>
      <c r="E30" s="172">
        <v>20.2</v>
      </c>
      <c r="F30" s="172"/>
      <c r="G30" s="172"/>
      <c r="H30" s="172"/>
      <c r="I30" s="172"/>
      <c r="J30" s="172"/>
      <c r="K30" s="172"/>
      <c r="L30" s="11"/>
      <c r="M30" s="11"/>
      <c r="N30" s="11"/>
      <c r="O30" s="11"/>
      <c r="P30" s="11"/>
      <c r="Q30" s="11"/>
      <c r="R30" s="11"/>
      <c r="S30" s="11"/>
      <c r="T30" s="11"/>
    </row>
    <row r="31" spans="1:20" s="53" customFormat="1" ht="24">
      <c r="A31" s="48" t="s">
        <v>452</v>
      </c>
      <c r="B31" s="415" t="s">
        <v>907</v>
      </c>
      <c r="C31" s="416" t="s">
        <v>877</v>
      </c>
      <c r="D31" s="173" t="s">
        <v>890</v>
      </c>
      <c r="E31" s="172">
        <v>222.2</v>
      </c>
      <c r="F31" s="172"/>
      <c r="G31" s="172"/>
      <c r="H31" s="172"/>
      <c r="I31" s="172"/>
      <c r="J31" s="172"/>
      <c r="K31" s="172"/>
      <c r="L31" s="11"/>
      <c r="M31" s="11"/>
      <c r="N31" s="11"/>
      <c r="O31" s="11"/>
      <c r="P31" s="11"/>
      <c r="Q31" s="11"/>
      <c r="R31" s="11"/>
      <c r="S31" s="11"/>
      <c r="T31" s="11"/>
    </row>
    <row r="32" spans="1:20">
      <c r="A32" s="479" t="s">
        <v>17</v>
      </c>
      <c r="B32" s="480"/>
      <c r="C32" s="480"/>
      <c r="D32" s="480"/>
      <c r="E32" s="480"/>
      <c r="F32" s="480"/>
      <c r="G32" s="480"/>
      <c r="H32" s="480"/>
      <c r="I32" s="481"/>
      <c r="J32" s="22"/>
      <c r="K32" s="22"/>
      <c r="L32" s="77"/>
      <c r="M32" s="11"/>
      <c r="N32" s="11"/>
      <c r="O32" s="11"/>
      <c r="P32" s="11"/>
      <c r="Q32" s="11"/>
      <c r="R32" s="11"/>
      <c r="S32" s="11"/>
      <c r="T32" s="11"/>
    </row>
    <row r="33" spans="1:22" s="74" customFormat="1">
      <c r="A33" s="70" t="s">
        <v>33</v>
      </c>
      <c r="B33" s="477" t="s">
        <v>107</v>
      </c>
      <c r="C33" s="478"/>
      <c r="D33" s="478"/>
      <c r="E33" s="478"/>
      <c r="F33" s="478"/>
      <c r="G33" s="478"/>
      <c r="H33" s="478"/>
      <c r="I33" s="478"/>
      <c r="J33" s="478"/>
      <c r="K33" s="478"/>
      <c r="L33" s="78"/>
      <c r="M33" s="73"/>
      <c r="N33" s="73"/>
      <c r="O33" s="73"/>
      <c r="P33" s="73"/>
      <c r="Q33" s="73"/>
      <c r="R33" s="73"/>
      <c r="S33" s="73"/>
      <c r="T33" s="73"/>
      <c r="U33" s="73"/>
      <c r="V33" s="73"/>
    </row>
    <row r="34" spans="1:22" s="419" customFormat="1">
      <c r="A34" s="414" t="s">
        <v>34</v>
      </c>
      <c r="B34" s="414"/>
      <c r="C34" s="333" t="s">
        <v>844</v>
      </c>
      <c r="D34" s="334" t="s">
        <v>47</v>
      </c>
      <c r="E34" s="417">
        <v>1.1000000000000001</v>
      </c>
      <c r="F34" s="408"/>
      <c r="G34" s="408"/>
      <c r="H34" s="408"/>
      <c r="I34" s="408"/>
      <c r="J34" s="408"/>
      <c r="K34" s="417"/>
      <c r="L34" s="411"/>
      <c r="M34" s="398"/>
      <c r="N34" s="398"/>
      <c r="O34" s="398"/>
      <c r="P34" s="398"/>
      <c r="Q34" s="398"/>
      <c r="R34" s="398"/>
      <c r="S34" s="398"/>
      <c r="T34" s="398"/>
      <c r="U34" s="398"/>
      <c r="V34" s="398"/>
    </row>
    <row r="35" spans="1:22" s="419" customFormat="1">
      <c r="A35" s="414" t="s">
        <v>108</v>
      </c>
      <c r="B35" s="329" t="s">
        <v>203</v>
      </c>
      <c r="C35" s="333" t="s">
        <v>533</v>
      </c>
      <c r="D35" s="334" t="s">
        <v>29</v>
      </c>
      <c r="E35" s="422">
        <v>2.38</v>
      </c>
      <c r="F35" s="408"/>
      <c r="G35" s="408"/>
      <c r="H35" s="408"/>
      <c r="I35" s="408"/>
      <c r="J35" s="408"/>
      <c r="K35" s="417"/>
      <c r="L35" s="411"/>
      <c r="M35" s="398"/>
      <c r="N35" s="398"/>
      <c r="O35" s="398"/>
      <c r="P35" s="398"/>
      <c r="Q35" s="398"/>
      <c r="R35" s="398"/>
      <c r="S35" s="398"/>
      <c r="T35" s="398"/>
      <c r="U35" s="398"/>
      <c r="V35" s="398"/>
    </row>
    <row r="36" spans="1:22" s="419" customFormat="1" ht="24.75">
      <c r="A36" s="414" t="s">
        <v>35</v>
      </c>
      <c r="B36" s="414"/>
      <c r="C36" s="418" t="s">
        <v>878</v>
      </c>
      <c r="D36" s="334" t="s">
        <v>29</v>
      </c>
      <c r="E36" s="417">
        <v>106.3</v>
      </c>
      <c r="F36" s="408"/>
      <c r="G36" s="408"/>
      <c r="H36" s="408"/>
      <c r="I36" s="408"/>
      <c r="J36" s="409"/>
      <c r="K36" s="410"/>
      <c r="L36" s="411"/>
      <c r="M36" s="398"/>
      <c r="N36" s="398"/>
      <c r="O36" s="398"/>
      <c r="P36" s="398"/>
      <c r="Q36" s="398"/>
      <c r="R36" s="398"/>
      <c r="S36" s="398"/>
      <c r="T36" s="398"/>
      <c r="U36" s="398"/>
      <c r="V36" s="398"/>
    </row>
    <row r="37" spans="1:22" s="419" customFormat="1" ht="24.75">
      <c r="A37" s="414" t="s">
        <v>36</v>
      </c>
      <c r="B37" s="414"/>
      <c r="C37" s="418" t="s">
        <v>879</v>
      </c>
      <c r="D37" s="334" t="s">
        <v>29</v>
      </c>
      <c r="E37" s="417">
        <v>260.2</v>
      </c>
      <c r="F37" s="408"/>
      <c r="G37" s="408"/>
      <c r="H37" s="408"/>
      <c r="I37" s="408"/>
      <c r="J37" s="409"/>
      <c r="K37" s="410"/>
      <c r="L37" s="411"/>
      <c r="M37" s="398"/>
      <c r="N37" s="398"/>
      <c r="O37" s="398"/>
      <c r="P37" s="398"/>
      <c r="Q37" s="398"/>
      <c r="R37" s="398"/>
      <c r="S37" s="398"/>
      <c r="T37" s="398"/>
      <c r="U37" s="398"/>
      <c r="V37" s="398"/>
    </row>
    <row r="38" spans="1:22" s="419" customFormat="1">
      <c r="A38" s="414" t="s">
        <v>37</v>
      </c>
      <c r="B38" s="86" t="s">
        <v>904</v>
      </c>
      <c r="C38" s="333" t="s">
        <v>880</v>
      </c>
      <c r="D38" s="334" t="s">
        <v>47</v>
      </c>
      <c r="E38" s="417">
        <v>15.2</v>
      </c>
      <c r="F38" s="408"/>
      <c r="G38" s="408"/>
      <c r="H38" s="408"/>
      <c r="I38" s="408"/>
      <c r="J38" s="409"/>
      <c r="K38" s="410"/>
      <c r="L38" s="411"/>
      <c r="M38" s="398"/>
      <c r="N38" s="398"/>
      <c r="O38" s="398"/>
      <c r="P38" s="398"/>
      <c r="Q38" s="398"/>
      <c r="R38" s="398"/>
      <c r="S38" s="398"/>
      <c r="T38" s="398"/>
      <c r="U38" s="398"/>
      <c r="V38" s="398"/>
    </row>
    <row r="39" spans="1:22" s="419" customFormat="1">
      <c r="A39" s="414" t="s">
        <v>454</v>
      </c>
      <c r="B39" s="414" t="s">
        <v>906</v>
      </c>
      <c r="C39" s="333" t="s">
        <v>881</v>
      </c>
      <c r="D39" s="334" t="s">
        <v>47</v>
      </c>
      <c r="E39" s="417">
        <v>15.2</v>
      </c>
      <c r="F39" s="408"/>
      <c r="G39" s="408"/>
      <c r="H39" s="408"/>
      <c r="I39" s="408"/>
      <c r="J39" s="409"/>
      <c r="K39" s="410"/>
      <c r="L39" s="411"/>
      <c r="M39" s="398"/>
      <c r="N39" s="398"/>
      <c r="O39" s="398"/>
      <c r="P39" s="398"/>
      <c r="Q39" s="398"/>
      <c r="R39" s="398"/>
      <c r="S39" s="398"/>
      <c r="T39" s="398"/>
      <c r="U39" s="398"/>
      <c r="V39" s="398"/>
    </row>
    <row r="40" spans="1:22" s="419" customFormat="1">
      <c r="A40" s="414" t="s">
        <v>455</v>
      </c>
      <c r="B40" s="86" t="s">
        <v>904</v>
      </c>
      <c r="C40" s="333" t="s">
        <v>882</v>
      </c>
      <c r="D40" s="334" t="s">
        <v>47</v>
      </c>
      <c r="E40" s="417">
        <v>5.3</v>
      </c>
      <c r="F40" s="408"/>
      <c r="G40" s="408"/>
      <c r="H40" s="408"/>
      <c r="I40" s="408"/>
      <c r="J40" s="409"/>
      <c r="K40" s="410"/>
      <c r="L40" s="411"/>
      <c r="M40" s="398"/>
      <c r="N40" s="398"/>
      <c r="O40" s="398"/>
      <c r="P40" s="398"/>
      <c r="Q40" s="398"/>
      <c r="R40" s="398"/>
      <c r="S40" s="398"/>
      <c r="T40" s="398"/>
      <c r="U40" s="398"/>
      <c r="V40" s="398"/>
    </row>
    <row r="41" spans="1:22" s="419" customFormat="1">
      <c r="A41" s="414" t="s">
        <v>456</v>
      </c>
      <c r="B41" s="414" t="s">
        <v>906</v>
      </c>
      <c r="C41" s="333" t="s">
        <v>883</v>
      </c>
      <c r="D41" s="334" t="s">
        <v>47</v>
      </c>
      <c r="E41" s="417">
        <v>5.3</v>
      </c>
      <c r="F41" s="408"/>
      <c r="G41" s="408"/>
      <c r="H41" s="408"/>
      <c r="I41" s="408"/>
      <c r="J41" s="409"/>
      <c r="K41" s="410"/>
      <c r="L41" s="411"/>
      <c r="M41" s="398"/>
      <c r="N41" s="398"/>
      <c r="O41" s="398"/>
      <c r="P41" s="398"/>
      <c r="Q41" s="398"/>
      <c r="R41" s="398"/>
      <c r="S41" s="398"/>
      <c r="T41" s="398"/>
      <c r="U41" s="398"/>
      <c r="V41" s="398"/>
    </row>
    <row r="42" spans="1:22" s="419" customFormat="1" ht="24">
      <c r="A42" s="414" t="s">
        <v>557</v>
      </c>
      <c r="B42" s="423" t="s">
        <v>907</v>
      </c>
      <c r="C42" s="333" t="s">
        <v>884</v>
      </c>
      <c r="D42" s="334" t="s">
        <v>890</v>
      </c>
      <c r="E42" s="417">
        <v>485.9</v>
      </c>
      <c r="F42" s="408"/>
      <c r="G42" s="408"/>
      <c r="H42" s="408"/>
      <c r="I42" s="408"/>
      <c r="J42" s="409"/>
      <c r="K42" s="410"/>
      <c r="L42" s="411"/>
      <c r="M42" s="398"/>
      <c r="N42" s="398"/>
      <c r="O42" s="398"/>
      <c r="P42" s="398"/>
      <c r="Q42" s="398"/>
      <c r="R42" s="398"/>
      <c r="S42" s="398"/>
      <c r="T42" s="398"/>
      <c r="U42" s="398"/>
      <c r="V42" s="398"/>
    </row>
    <row r="43" spans="1:22" s="419" customFormat="1">
      <c r="A43" s="414" t="s">
        <v>558</v>
      </c>
      <c r="B43" s="86" t="s">
        <v>832</v>
      </c>
      <c r="C43" s="333" t="s">
        <v>885</v>
      </c>
      <c r="D43" s="334" t="s">
        <v>890</v>
      </c>
      <c r="E43" s="417">
        <v>158.30000000000001</v>
      </c>
      <c r="F43" s="408"/>
      <c r="G43" s="408"/>
      <c r="H43" s="408"/>
      <c r="I43" s="408"/>
      <c r="J43" s="409"/>
      <c r="K43" s="410"/>
      <c r="L43" s="411"/>
      <c r="M43" s="398"/>
      <c r="N43" s="398"/>
      <c r="O43" s="398"/>
      <c r="P43" s="398"/>
      <c r="Q43" s="398"/>
      <c r="R43" s="398"/>
      <c r="S43" s="398"/>
      <c r="T43" s="398"/>
      <c r="U43" s="398"/>
      <c r="V43" s="398"/>
    </row>
    <row r="44" spans="1:22" s="419" customFormat="1" ht="24">
      <c r="A44" s="414" t="s">
        <v>893</v>
      </c>
      <c r="B44" s="423" t="s">
        <v>907</v>
      </c>
      <c r="C44" s="333" t="s">
        <v>886</v>
      </c>
      <c r="D44" s="334" t="s">
        <v>890</v>
      </c>
      <c r="E44" s="417">
        <v>696.1</v>
      </c>
      <c r="F44" s="408"/>
      <c r="G44" s="408"/>
      <c r="H44" s="408"/>
      <c r="I44" s="408"/>
      <c r="J44" s="409"/>
      <c r="K44" s="410"/>
      <c r="L44" s="411"/>
      <c r="M44" s="398"/>
      <c r="N44" s="398"/>
      <c r="O44" s="398"/>
      <c r="P44" s="398"/>
      <c r="Q44" s="398"/>
      <c r="R44" s="398"/>
      <c r="S44" s="398"/>
      <c r="T44" s="398"/>
      <c r="U44" s="398"/>
      <c r="V44" s="398"/>
    </row>
    <row r="45" spans="1:22" s="419" customFormat="1">
      <c r="A45" s="414" t="s">
        <v>894</v>
      </c>
      <c r="B45" s="86" t="s">
        <v>832</v>
      </c>
      <c r="C45" s="333" t="s">
        <v>887</v>
      </c>
      <c r="D45" s="334" t="s">
        <v>890</v>
      </c>
      <c r="E45" s="417">
        <v>281.60000000000002</v>
      </c>
      <c r="F45" s="408"/>
      <c r="G45" s="408"/>
      <c r="H45" s="408"/>
      <c r="I45" s="408"/>
      <c r="J45" s="409"/>
      <c r="K45" s="410"/>
      <c r="L45" s="411"/>
      <c r="M45" s="398"/>
      <c r="N45" s="398"/>
      <c r="O45" s="398"/>
      <c r="P45" s="398"/>
      <c r="Q45" s="398"/>
      <c r="R45" s="398"/>
      <c r="S45" s="398"/>
      <c r="T45" s="398"/>
      <c r="U45" s="398"/>
      <c r="V45" s="398"/>
    </row>
    <row r="46" spans="1:22" s="419" customFormat="1" ht="36.75">
      <c r="A46" s="414" t="s">
        <v>895</v>
      </c>
      <c r="B46" s="414"/>
      <c r="C46" s="418" t="s">
        <v>926</v>
      </c>
      <c r="D46" s="334" t="s">
        <v>29</v>
      </c>
      <c r="E46" s="417">
        <v>164.59</v>
      </c>
      <c r="F46" s="408"/>
      <c r="G46" s="408"/>
      <c r="H46" s="408"/>
      <c r="I46" s="408"/>
      <c r="J46" s="409"/>
      <c r="K46" s="410"/>
      <c r="L46" s="411"/>
      <c r="M46" s="398"/>
      <c r="N46" s="398"/>
      <c r="O46" s="398"/>
      <c r="P46" s="398"/>
      <c r="Q46" s="398"/>
      <c r="R46" s="398"/>
      <c r="S46" s="398"/>
      <c r="T46" s="398"/>
      <c r="U46" s="398"/>
      <c r="V46" s="398"/>
    </row>
    <row r="47" spans="1:22" s="419" customFormat="1">
      <c r="A47" s="414" t="s">
        <v>896</v>
      </c>
      <c r="B47" s="414"/>
      <c r="C47" s="333" t="s">
        <v>908</v>
      </c>
      <c r="D47" s="334" t="s">
        <v>27</v>
      </c>
      <c r="E47" s="417">
        <v>2085</v>
      </c>
      <c r="F47" s="408"/>
      <c r="G47" s="408"/>
      <c r="H47" s="408"/>
      <c r="I47" s="408"/>
      <c r="J47" s="409"/>
      <c r="K47" s="410"/>
      <c r="L47" s="411"/>
      <c r="M47" s="398"/>
      <c r="N47" s="398"/>
      <c r="O47" s="398"/>
      <c r="P47" s="398"/>
      <c r="Q47" s="398"/>
      <c r="R47" s="398"/>
      <c r="S47" s="398"/>
      <c r="T47" s="398"/>
      <c r="U47" s="398"/>
      <c r="V47" s="398"/>
    </row>
    <row r="48" spans="1:22" s="419" customFormat="1">
      <c r="A48" s="414" t="s">
        <v>897</v>
      </c>
      <c r="B48" s="86" t="s">
        <v>904</v>
      </c>
      <c r="C48" s="333" t="s">
        <v>911</v>
      </c>
      <c r="D48" s="334" t="s">
        <v>47</v>
      </c>
      <c r="E48" s="417">
        <v>7.5</v>
      </c>
      <c r="F48" s="408"/>
      <c r="G48" s="408"/>
      <c r="H48" s="408"/>
      <c r="I48" s="408"/>
      <c r="J48" s="409"/>
      <c r="K48" s="410"/>
      <c r="L48" s="411"/>
      <c r="M48" s="398"/>
      <c r="N48" s="398"/>
      <c r="O48" s="398"/>
      <c r="P48" s="398"/>
      <c r="Q48" s="398"/>
      <c r="R48" s="398"/>
      <c r="S48" s="398"/>
      <c r="T48" s="398"/>
      <c r="U48" s="398"/>
      <c r="V48" s="398"/>
    </row>
    <row r="49" spans="1:22" s="419" customFormat="1">
      <c r="A49" s="414" t="s">
        <v>898</v>
      </c>
      <c r="B49" s="414" t="s">
        <v>906</v>
      </c>
      <c r="C49" s="333" t="s">
        <v>888</v>
      </c>
      <c r="D49" s="334" t="s">
        <v>47</v>
      </c>
      <c r="E49" s="417">
        <v>7.5</v>
      </c>
      <c r="F49" s="408"/>
      <c r="G49" s="408"/>
      <c r="H49" s="408"/>
      <c r="I49" s="408"/>
      <c r="J49" s="409"/>
      <c r="K49" s="410"/>
      <c r="L49" s="411"/>
      <c r="M49" s="398"/>
      <c r="N49" s="398"/>
      <c r="O49" s="398"/>
      <c r="P49" s="398"/>
      <c r="Q49" s="398"/>
      <c r="R49" s="398"/>
      <c r="S49" s="398"/>
      <c r="T49" s="398"/>
      <c r="U49" s="398"/>
      <c r="V49" s="398"/>
    </row>
    <row r="50" spans="1:22" s="74" customFormat="1">
      <c r="A50" s="496" t="s">
        <v>18</v>
      </c>
      <c r="B50" s="496"/>
      <c r="C50" s="497"/>
      <c r="D50" s="497"/>
      <c r="E50" s="497"/>
      <c r="F50" s="497"/>
      <c r="G50" s="497"/>
      <c r="H50" s="497"/>
      <c r="I50" s="497"/>
      <c r="J50" s="22"/>
      <c r="K50" s="22"/>
      <c r="L50" s="79"/>
      <c r="M50" s="73"/>
      <c r="N50" s="73"/>
      <c r="O50" s="73"/>
      <c r="P50" s="73"/>
      <c r="Q50" s="73"/>
      <c r="R50" s="73"/>
      <c r="S50" s="73"/>
      <c r="T50" s="73"/>
      <c r="U50" s="73"/>
      <c r="V50" s="73"/>
    </row>
    <row r="51" spans="1:22" s="81" customFormat="1">
      <c r="A51" s="80" t="s">
        <v>38</v>
      </c>
      <c r="B51" s="456" t="s">
        <v>180</v>
      </c>
      <c r="C51" s="457"/>
      <c r="D51" s="457"/>
      <c r="E51" s="457"/>
      <c r="F51" s="457"/>
      <c r="G51" s="457"/>
      <c r="H51" s="457"/>
      <c r="I51" s="457"/>
      <c r="J51" s="457"/>
      <c r="K51" s="485"/>
      <c r="L51" s="78"/>
      <c r="M51" s="73"/>
      <c r="N51" s="73"/>
      <c r="O51" s="73"/>
      <c r="P51" s="73"/>
      <c r="Q51" s="73"/>
      <c r="R51" s="73"/>
      <c r="S51" s="73"/>
      <c r="T51" s="73"/>
      <c r="U51" s="73"/>
      <c r="V51" s="73"/>
    </row>
    <row r="52" spans="1:22" s="53" customFormat="1" ht="24.75">
      <c r="A52" s="48" t="s">
        <v>39</v>
      </c>
      <c r="B52" s="195" t="s">
        <v>181</v>
      </c>
      <c r="C52" s="58" t="s">
        <v>182</v>
      </c>
      <c r="D52" s="50" t="s">
        <v>29</v>
      </c>
      <c r="E52" s="47">
        <f>(2.85*(15.5+1.4+3.7+1.6+14.05+4.85+2.2+5+5+2.5+5+1.65+3.4+3.4+3.4+3.4))+(1.8*52.6)+8.53-((2.5*0.15*2.7)+(0.9*0.6*0.15)+(0.8*2.1*0.15)+(0.65*2.1*0.15))</f>
        <v>318.40225000000009</v>
      </c>
      <c r="F52" s="47"/>
      <c r="G52" s="47"/>
      <c r="H52" s="47"/>
      <c r="I52" s="47"/>
      <c r="J52" s="47"/>
      <c r="K52" s="47"/>
      <c r="L52" s="11"/>
      <c r="M52" s="11"/>
      <c r="N52" s="11"/>
      <c r="O52" s="11"/>
      <c r="P52" s="11"/>
      <c r="Q52" s="11"/>
      <c r="R52" s="11"/>
      <c r="S52" s="11"/>
      <c r="T52" s="11"/>
    </row>
    <row r="53" spans="1:22" s="53" customFormat="1" ht="24.75">
      <c r="A53" s="48" t="s">
        <v>40</v>
      </c>
      <c r="B53" s="195" t="s">
        <v>183</v>
      </c>
      <c r="C53" s="58" t="s">
        <v>184</v>
      </c>
      <c r="D53" s="50" t="s">
        <v>29</v>
      </c>
      <c r="E53" s="47">
        <f>(2.85*52.6)+4.56-((1.6*0.2*2.7)+(1.2*0.9*0.2*3))</f>
        <v>152.958</v>
      </c>
      <c r="F53" s="47"/>
      <c r="G53" s="47"/>
      <c r="H53" s="47"/>
      <c r="I53" s="47"/>
      <c r="J53" s="47"/>
      <c r="K53" s="47"/>
      <c r="L53" s="11"/>
      <c r="M53" s="11"/>
      <c r="N53" s="11"/>
      <c r="O53" s="11"/>
      <c r="P53" s="11"/>
      <c r="Q53" s="11"/>
      <c r="R53" s="11"/>
      <c r="S53" s="11"/>
      <c r="T53" s="11"/>
    </row>
    <row r="54" spans="1:22" s="53" customFormat="1" ht="24" customHeight="1">
      <c r="A54" s="48" t="s">
        <v>41</v>
      </c>
      <c r="B54" s="195" t="s">
        <v>185</v>
      </c>
      <c r="C54" s="239" t="s">
        <v>186</v>
      </c>
      <c r="D54" s="50" t="s">
        <v>47</v>
      </c>
      <c r="E54" s="47">
        <f>(0.2*0.1)*((2*((1.1*5)+(3.1*1)+(3.4*2)+(2*5)))+(1.4*6)+2.4+(1.3*2)+(1.6*2)+(2*4))+0.39</f>
        <v>1.8980000000000001</v>
      </c>
      <c r="F54" s="47"/>
      <c r="G54" s="47"/>
      <c r="H54" s="47"/>
      <c r="I54" s="47"/>
      <c r="J54" s="47"/>
      <c r="K54" s="47"/>
      <c r="L54" s="11"/>
      <c r="M54" s="11"/>
      <c r="N54" s="11"/>
      <c r="O54" s="11"/>
      <c r="P54" s="11"/>
      <c r="Q54" s="11"/>
      <c r="R54" s="11"/>
      <c r="S54" s="11"/>
      <c r="T54" s="11"/>
    </row>
    <row r="55" spans="1:22" s="53" customFormat="1" ht="24.75">
      <c r="A55" s="48" t="s">
        <v>42</v>
      </c>
      <c r="B55" s="195" t="s">
        <v>187</v>
      </c>
      <c r="C55" s="58" t="s">
        <v>188</v>
      </c>
      <c r="D55" s="50" t="s">
        <v>29</v>
      </c>
      <c r="E55" s="47">
        <f>2*(2*(0.2+1.8+1.8))</f>
        <v>15.2</v>
      </c>
      <c r="F55" s="47"/>
      <c r="G55" s="47"/>
      <c r="H55" s="47"/>
      <c r="I55" s="47"/>
      <c r="J55" s="47"/>
      <c r="K55" s="82"/>
      <c r="L55" s="77"/>
      <c r="M55" s="11"/>
      <c r="N55" s="11"/>
      <c r="O55" s="11"/>
      <c r="P55" s="11"/>
      <c r="Q55" s="11"/>
      <c r="R55" s="11"/>
      <c r="S55" s="11"/>
      <c r="T55" s="11"/>
    </row>
    <row r="56" spans="1:22" s="74" customFormat="1">
      <c r="A56" s="496" t="s">
        <v>73</v>
      </c>
      <c r="B56" s="496"/>
      <c r="C56" s="497"/>
      <c r="D56" s="497"/>
      <c r="E56" s="497"/>
      <c r="F56" s="497"/>
      <c r="G56" s="497"/>
      <c r="H56" s="497"/>
      <c r="I56" s="497"/>
      <c r="J56" s="22"/>
      <c r="K56" s="22"/>
      <c r="L56" s="79"/>
      <c r="M56" s="73"/>
      <c r="N56" s="73"/>
      <c r="O56" s="73"/>
      <c r="P56" s="73"/>
      <c r="Q56" s="73"/>
      <c r="R56" s="73"/>
      <c r="S56" s="73"/>
      <c r="T56" s="73"/>
      <c r="U56" s="73"/>
      <c r="V56" s="73"/>
    </row>
    <row r="57" spans="1:22" s="53" customFormat="1" ht="15.75" customHeight="1">
      <c r="A57" s="60" t="s">
        <v>68</v>
      </c>
      <c r="B57" s="458" t="s">
        <v>104</v>
      </c>
      <c r="C57" s="459"/>
      <c r="D57" s="459"/>
      <c r="E57" s="459"/>
      <c r="F57" s="459"/>
      <c r="G57" s="459"/>
      <c r="H57" s="459"/>
      <c r="I57" s="459"/>
      <c r="J57" s="459"/>
      <c r="K57" s="473"/>
      <c r="L57" s="77"/>
      <c r="M57" s="11"/>
      <c r="N57" s="11"/>
      <c r="O57" s="11"/>
      <c r="P57" s="11"/>
      <c r="Q57" s="11"/>
      <c r="R57" s="11"/>
      <c r="S57" s="11"/>
      <c r="T57" s="11"/>
    </row>
    <row r="58" spans="1:22" s="53" customFormat="1" ht="15.75" customHeight="1">
      <c r="A58" s="198" t="s">
        <v>69</v>
      </c>
      <c r="B58" s="199" t="s">
        <v>189</v>
      </c>
      <c r="C58" s="49" t="s">
        <v>190</v>
      </c>
      <c r="D58" s="50" t="s">
        <v>27</v>
      </c>
      <c r="E58" s="54">
        <v>4</v>
      </c>
      <c r="F58" s="54"/>
      <c r="G58" s="54"/>
      <c r="H58" s="54"/>
      <c r="I58" s="54"/>
      <c r="J58" s="54"/>
      <c r="K58" s="47"/>
      <c r="L58" s="11"/>
      <c r="M58" s="11"/>
      <c r="N58" s="11"/>
      <c r="O58" s="11"/>
      <c r="P58" s="11"/>
      <c r="Q58" s="11"/>
      <c r="R58" s="11"/>
      <c r="S58" s="11"/>
      <c r="T58" s="11"/>
    </row>
    <row r="59" spans="1:22" s="53" customFormat="1" ht="15.75" customHeight="1">
      <c r="A59" s="198" t="s">
        <v>70</v>
      </c>
      <c r="B59" s="199" t="s">
        <v>191</v>
      </c>
      <c r="C59" s="49" t="s">
        <v>192</v>
      </c>
      <c r="D59" s="50" t="s">
        <v>29</v>
      </c>
      <c r="E59" s="54">
        <f>1.2*2.1</f>
        <v>2.52</v>
      </c>
      <c r="F59" s="54"/>
      <c r="G59" s="54"/>
      <c r="H59" s="54"/>
      <c r="I59" s="54"/>
      <c r="J59" s="54"/>
      <c r="K59" s="47"/>
      <c r="L59" s="11"/>
      <c r="M59" s="11"/>
      <c r="N59" s="11"/>
      <c r="O59" s="11"/>
      <c r="P59" s="11"/>
      <c r="Q59" s="11"/>
      <c r="R59" s="11"/>
      <c r="S59" s="11"/>
      <c r="T59" s="11"/>
    </row>
    <row r="60" spans="1:22" s="53" customFormat="1" ht="15.75" customHeight="1">
      <c r="A60" s="198" t="s">
        <v>71</v>
      </c>
      <c r="B60" s="182" t="s">
        <v>252</v>
      </c>
      <c r="C60" s="164" t="s">
        <v>516</v>
      </c>
      <c r="D60" s="165" t="s">
        <v>29</v>
      </c>
      <c r="E60" s="54">
        <f>(2*((1.4+4.28)*1))+(2*((1.4+4.28)*0.5))</f>
        <v>17.04</v>
      </c>
      <c r="F60" s="54"/>
      <c r="G60" s="54"/>
      <c r="H60" s="54"/>
      <c r="I60" s="54"/>
      <c r="J60" s="54"/>
      <c r="K60" s="47"/>
      <c r="L60" s="11"/>
      <c r="M60" s="11"/>
      <c r="N60" s="11"/>
      <c r="O60" s="11"/>
      <c r="P60" s="11"/>
      <c r="Q60" s="11"/>
      <c r="R60" s="11"/>
      <c r="S60" s="11"/>
      <c r="T60" s="11"/>
    </row>
    <row r="61" spans="1:22" s="53" customFormat="1" ht="15.75" customHeight="1">
      <c r="A61" s="198" t="s">
        <v>72</v>
      </c>
      <c r="B61" s="182" t="s">
        <v>535</v>
      </c>
      <c r="C61" s="164" t="s">
        <v>536</v>
      </c>
      <c r="D61" s="165" t="s">
        <v>27</v>
      </c>
      <c r="E61" s="54">
        <v>1</v>
      </c>
      <c r="F61" s="54"/>
      <c r="G61" s="54"/>
      <c r="H61" s="54"/>
      <c r="I61" s="54"/>
      <c r="J61" s="54"/>
      <c r="K61" s="47"/>
      <c r="L61" s="11"/>
      <c r="M61" s="11"/>
      <c r="N61" s="11"/>
      <c r="O61" s="11"/>
      <c r="P61" s="11"/>
      <c r="Q61" s="11"/>
      <c r="R61" s="11"/>
      <c r="S61" s="11"/>
      <c r="T61" s="11"/>
    </row>
    <row r="62" spans="1:22" s="53" customFormat="1" ht="15.75" customHeight="1">
      <c r="A62" s="198" t="s">
        <v>74</v>
      </c>
      <c r="B62" s="182"/>
      <c r="C62" s="167" t="s">
        <v>595</v>
      </c>
      <c r="D62" s="165" t="s">
        <v>27</v>
      </c>
      <c r="E62" s="54">
        <v>2</v>
      </c>
      <c r="F62" s="54"/>
      <c r="G62" s="54"/>
      <c r="H62" s="54"/>
      <c r="I62" s="54"/>
      <c r="J62" s="54"/>
      <c r="K62" s="47"/>
      <c r="L62" s="11"/>
      <c r="M62" s="11"/>
      <c r="N62" s="11"/>
      <c r="O62" s="11"/>
      <c r="P62" s="11"/>
      <c r="Q62" s="11"/>
      <c r="R62" s="11"/>
      <c r="S62" s="11"/>
      <c r="T62" s="11"/>
    </row>
    <row r="63" spans="1:22" s="53" customFormat="1" ht="15.75" customHeight="1">
      <c r="A63" s="198" t="s">
        <v>75</v>
      </c>
      <c r="B63" s="182"/>
      <c r="C63" s="167" t="s">
        <v>596</v>
      </c>
      <c r="D63" s="165" t="s">
        <v>27</v>
      </c>
      <c r="E63" s="54">
        <v>1</v>
      </c>
      <c r="F63" s="54"/>
      <c r="G63" s="54"/>
      <c r="H63" s="54"/>
      <c r="I63" s="54"/>
      <c r="J63" s="54"/>
      <c r="K63" s="47"/>
      <c r="L63" s="11"/>
      <c r="M63" s="11"/>
      <c r="N63" s="11"/>
      <c r="O63" s="11"/>
      <c r="P63" s="11"/>
      <c r="Q63" s="11"/>
      <c r="R63" s="11"/>
      <c r="S63" s="11"/>
      <c r="T63" s="11"/>
    </row>
    <row r="64" spans="1:22" s="53" customFormat="1" ht="24.75">
      <c r="A64" s="198" t="s">
        <v>76</v>
      </c>
      <c r="B64" s="195" t="s">
        <v>193</v>
      </c>
      <c r="C64" s="58" t="s">
        <v>194</v>
      </c>
      <c r="D64" s="50" t="s">
        <v>27</v>
      </c>
      <c r="E64" s="54">
        <v>6</v>
      </c>
      <c r="F64" s="54"/>
      <c r="G64" s="54"/>
      <c r="H64" s="54"/>
      <c r="I64" s="54"/>
      <c r="J64" s="54"/>
      <c r="K64" s="47"/>
      <c r="L64" s="11"/>
      <c r="M64" s="11"/>
      <c r="N64" s="11"/>
      <c r="O64" s="11"/>
      <c r="P64" s="11"/>
      <c r="Q64" s="11"/>
      <c r="R64" s="11"/>
      <c r="S64" s="11"/>
      <c r="T64" s="11"/>
    </row>
    <row r="65" spans="1:22" s="53" customFormat="1" ht="24.75">
      <c r="A65" s="198" t="s">
        <v>77</v>
      </c>
      <c r="B65" s="166" t="s">
        <v>264</v>
      </c>
      <c r="C65" s="167" t="s">
        <v>496</v>
      </c>
      <c r="D65" s="165" t="s">
        <v>27</v>
      </c>
      <c r="E65" s="54">
        <v>4</v>
      </c>
      <c r="F65" s="54"/>
      <c r="G65" s="54"/>
      <c r="H65" s="54"/>
      <c r="I65" s="54"/>
      <c r="J65" s="54"/>
      <c r="K65" s="47"/>
      <c r="L65" s="11"/>
      <c r="M65" s="11"/>
      <c r="N65" s="11"/>
      <c r="O65" s="11"/>
      <c r="P65" s="11"/>
      <c r="Q65" s="11"/>
      <c r="R65" s="11"/>
      <c r="S65" s="11"/>
      <c r="T65" s="11"/>
    </row>
    <row r="66" spans="1:22" s="53" customFormat="1" ht="24.75">
      <c r="A66" s="198" t="s">
        <v>78</v>
      </c>
      <c r="B66" s="195" t="s">
        <v>195</v>
      </c>
      <c r="C66" s="58" t="s">
        <v>196</v>
      </c>
      <c r="D66" s="50" t="s">
        <v>27</v>
      </c>
      <c r="E66" s="54">
        <v>1</v>
      </c>
      <c r="F66" s="54"/>
      <c r="G66" s="54"/>
      <c r="H66" s="54"/>
      <c r="I66" s="54"/>
      <c r="J66" s="54"/>
      <c r="K66" s="47"/>
      <c r="L66" s="11"/>
      <c r="M66" s="11"/>
      <c r="N66" s="11"/>
      <c r="O66" s="11"/>
      <c r="P66" s="11"/>
      <c r="Q66" s="11"/>
      <c r="R66" s="11"/>
      <c r="S66" s="11"/>
      <c r="T66" s="11"/>
    </row>
    <row r="67" spans="1:22" s="53" customFormat="1" ht="24.75">
      <c r="A67" s="198" t="s">
        <v>79</v>
      </c>
      <c r="B67" s="195" t="s">
        <v>242</v>
      </c>
      <c r="C67" s="58" t="s">
        <v>243</v>
      </c>
      <c r="D67" s="50" t="s">
        <v>27</v>
      </c>
      <c r="E67" s="54">
        <v>2</v>
      </c>
      <c r="F67" s="54"/>
      <c r="G67" s="54"/>
      <c r="H67" s="54"/>
      <c r="I67" s="54"/>
      <c r="J67" s="54"/>
      <c r="K67" s="47"/>
      <c r="L67" s="11"/>
      <c r="M67" s="11"/>
      <c r="N67" s="11"/>
      <c r="O67" s="11"/>
      <c r="P67" s="11"/>
      <c r="Q67" s="11"/>
      <c r="R67" s="11"/>
      <c r="S67" s="11"/>
      <c r="T67" s="11"/>
    </row>
    <row r="68" spans="1:22" s="53" customFormat="1" ht="24.75">
      <c r="A68" s="198" t="s">
        <v>80</v>
      </c>
      <c r="B68" s="195" t="s">
        <v>197</v>
      </c>
      <c r="C68" s="58" t="s">
        <v>198</v>
      </c>
      <c r="D68" s="50" t="s">
        <v>27</v>
      </c>
      <c r="E68" s="54">
        <v>2</v>
      </c>
      <c r="F68" s="54"/>
      <c r="G68" s="54"/>
      <c r="H68" s="54"/>
      <c r="I68" s="54"/>
      <c r="J68" s="54"/>
      <c r="K68" s="47"/>
      <c r="L68" s="11"/>
      <c r="M68" s="11"/>
      <c r="N68" s="11"/>
      <c r="O68" s="11"/>
      <c r="P68" s="11"/>
      <c r="Q68" s="11"/>
      <c r="R68" s="11"/>
      <c r="S68" s="11"/>
      <c r="T68" s="11"/>
    </row>
    <row r="69" spans="1:22" s="53" customFormat="1" ht="24.75">
      <c r="A69" s="198" t="s">
        <v>81</v>
      </c>
      <c r="B69" s="195" t="s">
        <v>266</v>
      </c>
      <c r="C69" s="58" t="s">
        <v>267</v>
      </c>
      <c r="D69" s="50" t="s">
        <v>27</v>
      </c>
      <c r="E69" s="54">
        <v>1</v>
      </c>
      <c r="F69" s="54"/>
      <c r="G69" s="54"/>
      <c r="H69" s="54"/>
      <c r="I69" s="54"/>
      <c r="J69" s="54"/>
      <c r="K69" s="47"/>
      <c r="L69" s="11"/>
      <c r="M69" s="11"/>
      <c r="N69" s="11"/>
      <c r="O69" s="11"/>
      <c r="P69" s="11"/>
      <c r="Q69" s="11"/>
      <c r="R69" s="11"/>
      <c r="S69" s="11"/>
      <c r="T69" s="11"/>
    </row>
    <row r="70" spans="1:22" s="53" customFormat="1" ht="24.75">
      <c r="A70" s="198" t="s">
        <v>251</v>
      </c>
      <c r="B70" s="195" t="s">
        <v>197</v>
      </c>
      <c r="C70" s="58" t="s">
        <v>273</v>
      </c>
      <c r="D70" s="50" t="s">
        <v>27</v>
      </c>
      <c r="E70" s="54">
        <v>4</v>
      </c>
      <c r="F70" s="54"/>
      <c r="G70" s="54"/>
      <c r="H70" s="54"/>
      <c r="I70" s="54"/>
      <c r="J70" s="54"/>
      <c r="K70" s="47"/>
      <c r="L70" s="11"/>
      <c r="M70" s="11"/>
      <c r="N70" s="11"/>
      <c r="O70" s="11"/>
      <c r="P70" s="11"/>
      <c r="Q70" s="11"/>
      <c r="R70" s="11"/>
      <c r="S70" s="11"/>
      <c r="T70" s="11"/>
    </row>
    <row r="71" spans="1:22" s="53" customFormat="1" ht="24.75">
      <c r="A71" s="198" t="s">
        <v>407</v>
      </c>
      <c r="B71" s="195" t="s">
        <v>264</v>
      </c>
      <c r="C71" s="58" t="s">
        <v>538</v>
      </c>
      <c r="D71" s="50" t="s">
        <v>27</v>
      </c>
      <c r="E71" s="54">
        <v>3</v>
      </c>
      <c r="F71" s="54"/>
      <c r="G71" s="54"/>
      <c r="H71" s="54"/>
      <c r="I71" s="54"/>
      <c r="J71" s="54"/>
      <c r="K71" s="47"/>
      <c r="L71" s="11"/>
      <c r="M71" s="11"/>
      <c r="N71" s="11"/>
      <c r="O71" s="11"/>
      <c r="P71" s="11"/>
      <c r="Q71" s="11"/>
      <c r="R71" s="11"/>
      <c r="S71" s="11"/>
      <c r="T71" s="11"/>
    </row>
    <row r="72" spans="1:22" s="53" customFormat="1" ht="24.75">
      <c r="A72" s="198" t="s">
        <v>514</v>
      </c>
      <c r="B72" s="195" t="s">
        <v>679</v>
      </c>
      <c r="C72" s="181" t="s">
        <v>680</v>
      </c>
      <c r="D72" s="50" t="s">
        <v>27</v>
      </c>
      <c r="E72" s="47">
        <v>2</v>
      </c>
      <c r="F72" s="54"/>
      <c r="G72" s="54"/>
      <c r="H72" s="54"/>
      <c r="I72" s="54"/>
      <c r="J72" s="54"/>
      <c r="K72" s="47"/>
      <c r="L72" s="11"/>
      <c r="M72" s="11"/>
      <c r="N72" s="11"/>
      <c r="O72" s="11"/>
      <c r="P72" s="11"/>
      <c r="Q72" s="11"/>
      <c r="R72" s="11"/>
      <c r="S72" s="11"/>
      <c r="T72" s="11"/>
    </row>
    <row r="73" spans="1:22" s="53" customFormat="1">
      <c r="A73" s="198" t="s">
        <v>521</v>
      </c>
      <c r="B73" s="180" t="s">
        <v>247</v>
      </c>
      <c r="C73" s="58" t="s">
        <v>515</v>
      </c>
      <c r="D73" s="50" t="s">
        <v>27</v>
      </c>
      <c r="E73" s="47">
        <v>5</v>
      </c>
      <c r="F73" s="54"/>
      <c r="G73" s="54"/>
      <c r="H73" s="54"/>
      <c r="I73" s="54"/>
      <c r="J73" s="54"/>
      <c r="K73" s="47"/>
      <c r="L73" s="11"/>
      <c r="M73" s="11"/>
      <c r="N73" s="11"/>
      <c r="O73" s="11"/>
      <c r="P73" s="11"/>
      <c r="Q73" s="11"/>
      <c r="R73" s="11"/>
      <c r="S73" s="11"/>
      <c r="T73" s="11"/>
    </row>
    <row r="74" spans="1:22" s="53" customFormat="1">
      <c r="A74" s="198" t="s">
        <v>522</v>
      </c>
      <c r="B74" s="195" t="s">
        <v>199</v>
      </c>
      <c r="C74" s="58" t="s">
        <v>274</v>
      </c>
      <c r="D74" s="50" t="s">
        <v>27</v>
      </c>
      <c r="E74" s="47">
        <v>1</v>
      </c>
      <c r="F74" s="54"/>
      <c r="G74" s="54"/>
      <c r="H74" s="54"/>
      <c r="I74" s="54"/>
      <c r="J74" s="54"/>
      <c r="K74" s="47"/>
      <c r="L74" s="11"/>
      <c r="M74" s="11"/>
      <c r="N74" s="11"/>
      <c r="O74" s="11"/>
      <c r="P74" s="11"/>
      <c r="Q74" s="11"/>
      <c r="R74" s="11"/>
      <c r="S74" s="11"/>
      <c r="T74" s="11"/>
    </row>
    <row r="75" spans="1:22" s="53" customFormat="1" ht="24.75">
      <c r="A75" s="198" t="s">
        <v>523</v>
      </c>
      <c r="B75" s="195" t="s">
        <v>199</v>
      </c>
      <c r="C75" s="58" t="s">
        <v>200</v>
      </c>
      <c r="D75" s="50" t="s">
        <v>27</v>
      </c>
      <c r="E75" s="47">
        <v>2</v>
      </c>
      <c r="F75" s="54"/>
      <c r="G75" s="54"/>
      <c r="H75" s="54"/>
      <c r="I75" s="54"/>
      <c r="J75" s="54"/>
      <c r="K75" s="47"/>
      <c r="L75" s="11"/>
      <c r="M75" s="11"/>
      <c r="N75" s="11"/>
      <c r="O75" s="11"/>
      <c r="P75" s="11"/>
      <c r="Q75" s="11"/>
      <c r="R75" s="11"/>
      <c r="S75" s="11"/>
      <c r="T75" s="11"/>
    </row>
    <row r="76" spans="1:22" s="53" customFormat="1">
      <c r="A76" s="198" t="s">
        <v>676</v>
      </c>
      <c r="B76" s="195" t="s">
        <v>199</v>
      </c>
      <c r="C76" s="299" t="s">
        <v>275</v>
      </c>
      <c r="D76" s="50" t="s">
        <v>27</v>
      </c>
      <c r="E76" s="47">
        <f>5-2</f>
        <v>3</v>
      </c>
      <c r="F76" s="54"/>
      <c r="G76" s="54"/>
      <c r="H76" s="54"/>
      <c r="I76" s="54"/>
      <c r="J76" s="54"/>
      <c r="K76" s="47"/>
      <c r="L76" s="11"/>
      <c r="M76" s="11"/>
      <c r="N76" s="11"/>
      <c r="O76" s="11"/>
      <c r="P76" s="11"/>
      <c r="Q76" s="11"/>
      <c r="R76" s="11"/>
      <c r="S76" s="11"/>
      <c r="T76" s="11"/>
    </row>
    <row r="77" spans="1:22" s="53" customFormat="1" ht="24.75">
      <c r="A77" s="198" t="s">
        <v>677</v>
      </c>
      <c r="B77" s="199" t="s">
        <v>681</v>
      </c>
      <c r="C77" s="181" t="s">
        <v>682</v>
      </c>
      <c r="D77" s="50" t="s">
        <v>27</v>
      </c>
      <c r="E77" s="47">
        <v>5</v>
      </c>
      <c r="F77" s="54"/>
      <c r="G77" s="54"/>
      <c r="H77" s="54"/>
      <c r="I77" s="54"/>
      <c r="J77" s="54"/>
      <c r="K77" s="47"/>
      <c r="L77" s="11"/>
      <c r="M77" s="11"/>
      <c r="N77" s="11"/>
      <c r="O77" s="11"/>
      <c r="P77" s="11"/>
      <c r="Q77" s="11"/>
      <c r="R77" s="11"/>
      <c r="S77" s="11"/>
      <c r="T77" s="11"/>
    </row>
    <row r="78" spans="1:22" s="53" customFormat="1" ht="24.75">
      <c r="A78" s="198" t="s">
        <v>678</v>
      </c>
      <c r="B78" s="199" t="s">
        <v>247</v>
      </c>
      <c r="C78" s="181" t="s">
        <v>683</v>
      </c>
      <c r="D78" s="50" t="s">
        <v>27</v>
      </c>
      <c r="E78" s="47">
        <v>1</v>
      </c>
      <c r="F78" s="54"/>
      <c r="G78" s="54"/>
      <c r="H78" s="54"/>
      <c r="I78" s="54"/>
      <c r="J78" s="54"/>
      <c r="K78" s="47"/>
      <c r="L78" s="11"/>
      <c r="M78" s="11"/>
      <c r="N78" s="11"/>
      <c r="O78" s="11"/>
      <c r="P78" s="11"/>
      <c r="Q78" s="11"/>
      <c r="R78" s="11"/>
      <c r="S78" s="11"/>
      <c r="T78" s="11"/>
    </row>
    <row r="79" spans="1:22" s="53" customFormat="1" ht="15.75" customHeight="1">
      <c r="A79" s="479" t="s">
        <v>43</v>
      </c>
      <c r="B79" s="480"/>
      <c r="C79" s="480"/>
      <c r="D79" s="480"/>
      <c r="E79" s="480"/>
      <c r="F79" s="480"/>
      <c r="G79" s="480"/>
      <c r="H79" s="480"/>
      <c r="I79" s="481"/>
      <c r="J79" s="23"/>
      <c r="K79" s="23"/>
      <c r="L79" s="77"/>
      <c r="M79" s="11"/>
      <c r="N79" s="11"/>
      <c r="O79" s="11"/>
      <c r="P79" s="11"/>
      <c r="Q79" s="11"/>
      <c r="R79" s="11"/>
      <c r="S79" s="11"/>
      <c r="T79" s="11"/>
    </row>
    <row r="80" spans="1:22" s="74" customFormat="1">
      <c r="A80" s="70" t="s">
        <v>44</v>
      </c>
      <c r="B80" s="448" t="s">
        <v>109</v>
      </c>
      <c r="C80" s="449"/>
      <c r="D80" s="449"/>
      <c r="E80" s="449"/>
      <c r="F80" s="449"/>
      <c r="G80" s="449"/>
      <c r="H80" s="449"/>
      <c r="I80" s="449"/>
      <c r="J80" s="449"/>
      <c r="K80" s="449"/>
      <c r="L80" s="78"/>
      <c r="M80" s="73"/>
      <c r="N80" s="73"/>
      <c r="O80" s="73"/>
      <c r="P80" s="73"/>
      <c r="Q80" s="73"/>
      <c r="R80" s="73"/>
      <c r="S80" s="73"/>
      <c r="T80" s="73"/>
      <c r="U80" s="73"/>
      <c r="V80" s="73"/>
    </row>
    <row r="81" spans="1:22" s="81" customFormat="1" ht="24.75">
      <c r="A81" s="80" t="s">
        <v>82</v>
      </c>
      <c r="B81" s="197" t="s">
        <v>203</v>
      </c>
      <c r="C81" s="181" t="s">
        <v>204</v>
      </c>
      <c r="D81" s="92" t="s">
        <v>29</v>
      </c>
      <c r="E81" s="47">
        <v>187.2</v>
      </c>
      <c r="F81" s="47"/>
      <c r="G81" s="47"/>
      <c r="H81" s="47"/>
      <c r="I81" s="47"/>
      <c r="J81" s="82"/>
      <c r="K81" s="47"/>
      <c r="L81" s="78"/>
      <c r="M81" s="73"/>
      <c r="N81" s="73"/>
      <c r="O81" s="73"/>
      <c r="P81" s="73"/>
      <c r="Q81" s="73"/>
      <c r="R81" s="73"/>
      <c r="S81" s="73"/>
      <c r="T81" s="73"/>
      <c r="U81" s="73"/>
      <c r="V81" s="73"/>
    </row>
    <row r="82" spans="1:22" s="81" customFormat="1" ht="24.75">
      <c r="A82" s="80" t="s">
        <v>86</v>
      </c>
      <c r="B82" s="197" t="s">
        <v>205</v>
      </c>
      <c r="C82" s="181" t="s">
        <v>206</v>
      </c>
      <c r="D82" s="92" t="s">
        <v>29</v>
      </c>
      <c r="E82" s="47">
        <f>E81*1.005</f>
        <v>188.13599999999997</v>
      </c>
      <c r="F82" s="47"/>
      <c r="G82" s="47"/>
      <c r="H82" s="47"/>
      <c r="I82" s="47"/>
      <c r="J82" s="82"/>
      <c r="K82" s="47"/>
      <c r="L82" s="78"/>
      <c r="M82" s="73"/>
      <c r="N82" s="73"/>
      <c r="O82" s="73"/>
      <c r="P82" s="73"/>
      <c r="Q82" s="73"/>
      <c r="R82" s="73"/>
      <c r="S82" s="73"/>
      <c r="T82" s="73"/>
      <c r="U82" s="73"/>
      <c r="V82" s="73"/>
    </row>
    <row r="83" spans="1:22" s="81" customFormat="1">
      <c r="A83" s="80" t="s">
        <v>110</v>
      </c>
      <c r="B83" s="180">
        <v>72104</v>
      </c>
      <c r="C83" s="181" t="s">
        <v>520</v>
      </c>
      <c r="D83" s="182" t="s">
        <v>28</v>
      </c>
      <c r="E83" s="49">
        <f>(10.4*2)*1.005</f>
        <v>20.904</v>
      </c>
      <c r="F83" s="117"/>
      <c r="G83" s="117"/>
      <c r="H83" s="117"/>
      <c r="I83" s="117"/>
      <c r="J83" s="177"/>
      <c r="K83" s="47"/>
      <c r="L83" s="78"/>
      <c r="M83" s="73"/>
      <c r="N83" s="73"/>
      <c r="O83" s="73"/>
      <c r="P83" s="73"/>
      <c r="Q83" s="73"/>
      <c r="R83" s="73"/>
      <c r="S83" s="73"/>
      <c r="T83" s="73"/>
      <c r="U83" s="73"/>
      <c r="V83" s="73"/>
    </row>
    <row r="84" spans="1:22" s="81" customFormat="1">
      <c r="A84" s="80" t="s">
        <v>111</v>
      </c>
      <c r="B84" s="197">
        <v>72104</v>
      </c>
      <c r="C84" s="76" t="s">
        <v>208</v>
      </c>
      <c r="D84" s="92" t="s">
        <v>28</v>
      </c>
      <c r="E84" s="289">
        <v>15.6</v>
      </c>
      <c r="F84" s="47"/>
      <c r="G84" s="47"/>
      <c r="H84" s="47"/>
      <c r="I84" s="47"/>
      <c r="J84" s="82"/>
      <c r="K84" s="47"/>
      <c r="L84" s="78"/>
      <c r="M84" s="73"/>
      <c r="N84" s="73"/>
      <c r="O84" s="73"/>
      <c r="P84" s="73"/>
      <c r="Q84" s="73"/>
      <c r="R84" s="73"/>
      <c r="S84" s="73"/>
      <c r="T84" s="73"/>
      <c r="U84" s="73"/>
      <c r="V84" s="73"/>
    </row>
    <row r="85" spans="1:22" s="81" customFormat="1">
      <c r="A85" s="80" t="s">
        <v>463</v>
      </c>
      <c r="B85" s="197">
        <v>72106</v>
      </c>
      <c r="C85" s="76" t="s">
        <v>207</v>
      </c>
      <c r="D85" s="92" t="s">
        <v>28</v>
      </c>
      <c r="E85" s="47">
        <f>(2*10.4)*1.005</f>
        <v>20.904</v>
      </c>
      <c r="F85" s="47"/>
      <c r="G85" s="47"/>
      <c r="H85" s="47"/>
      <c r="I85" s="47"/>
      <c r="J85" s="82"/>
      <c r="K85" s="47"/>
      <c r="L85" s="78"/>
      <c r="M85" s="73"/>
      <c r="N85" s="73"/>
      <c r="O85" s="73"/>
      <c r="P85" s="73"/>
      <c r="Q85" s="73"/>
      <c r="R85" s="73"/>
      <c r="S85" s="73"/>
      <c r="T85" s="73"/>
      <c r="U85" s="73"/>
      <c r="V85" s="73"/>
    </row>
    <row r="86" spans="1:22" s="74" customFormat="1">
      <c r="A86" s="462" t="s">
        <v>45</v>
      </c>
      <c r="B86" s="463"/>
      <c r="C86" s="463"/>
      <c r="D86" s="463"/>
      <c r="E86" s="463"/>
      <c r="F86" s="463"/>
      <c r="G86" s="463"/>
      <c r="H86" s="463"/>
      <c r="I86" s="464"/>
      <c r="J86" s="23"/>
      <c r="K86" s="23"/>
      <c r="L86" s="79"/>
      <c r="M86" s="73"/>
      <c r="N86" s="390"/>
      <c r="O86" s="400"/>
      <c r="P86" s="73"/>
      <c r="Q86" s="73"/>
      <c r="R86" s="73"/>
      <c r="S86" s="73"/>
      <c r="T86" s="73"/>
      <c r="U86" s="73"/>
      <c r="V86" s="73"/>
    </row>
    <row r="87" spans="1:22" s="53" customFormat="1">
      <c r="A87" s="48" t="s">
        <v>83</v>
      </c>
      <c r="B87" s="474" t="s">
        <v>6</v>
      </c>
      <c r="C87" s="475"/>
      <c r="D87" s="475"/>
      <c r="E87" s="475"/>
      <c r="F87" s="475"/>
      <c r="G87" s="475"/>
      <c r="H87" s="475"/>
      <c r="I87" s="475"/>
      <c r="J87" s="475"/>
      <c r="K87" s="476"/>
      <c r="L87" s="77"/>
      <c r="M87" s="11"/>
      <c r="N87" s="390"/>
      <c r="O87" s="373"/>
      <c r="P87" s="11"/>
      <c r="Q87" s="11"/>
      <c r="R87" s="11"/>
      <c r="S87" s="11"/>
      <c r="T87" s="11"/>
    </row>
    <row r="88" spans="1:22" s="91" customFormat="1">
      <c r="A88" s="86" t="s">
        <v>343</v>
      </c>
      <c r="B88" s="358" t="s">
        <v>850</v>
      </c>
      <c r="C88" s="202" t="s">
        <v>31</v>
      </c>
      <c r="D88" s="201" t="s">
        <v>28</v>
      </c>
      <c r="E88" s="88">
        <f>591.6+15</f>
        <v>606.6</v>
      </c>
      <c r="F88" s="202"/>
      <c r="G88" s="54"/>
      <c r="H88" s="202"/>
      <c r="I88" s="54"/>
      <c r="J88" s="54"/>
      <c r="K88" s="54"/>
      <c r="L88" s="90"/>
      <c r="M88" s="90"/>
      <c r="N88" s="390"/>
      <c r="O88" s="373"/>
      <c r="P88" s="90"/>
      <c r="Q88" s="90"/>
      <c r="R88" s="90"/>
      <c r="S88" s="90"/>
      <c r="T88" s="90"/>
    </row>
    <row r="89" spans="1:22" s="91" customFormat="1">
      <c r="A89" s="86" t="s">
        <v>344</v>
      </c>
      <c r="B89" s="358" t="s">
        <v>851</v>
      </c>
      <c r="C89" s="191" t="s">
        <v>49</v>
      </c>
      <c r="D89" s="204" t="s">
        <v>28</v>
      </c>
      <c r="E89" s="57">
        <v>216.9</v>
      </c>
      <c r="F89" s="191"/>
      <c r="G89" s="47"/>
      <c r="H89" s="191"/>
      <c r="I89" s="47"/>
      <c r="J89" s="47"/>
      <c r="K89" s="54"/>
      <c r="L89" s="90"/>
      <c r="M89" s="90"/>
      <c r="N89" s="392"/>
      <c r="O89" s="373"/>
      <c r="P89" s="90"/>
      <c r="Q89" s="90"/>
      <c r="R89" s="90"/>
      <c r="S89" s="90"/>
      <c r="T89" s="90"/>
    </row>
    <row r="90" spans="1:22" s="91" customFormat="1">
      <c r="A90" s="86" t="s">
        <v>345</v>
      </c>
      <c r="B90" s="358" t="s">
        <v>865</v>
      </c>
      <c r="C90" s="191" t="s">
        <v>311</v>
      </c>
      <c r="D90" s="204" t="s">
        <v>28</v>
      </c>
      <c r="E90" s="57">
        <v>117.22</v>
      </c>
      <c r="F90" s="191"/>
      <c r="G90" s="47"/>
      <c r="H90" s="191"/>
      <c r="I90" s="47"/>
      <c r="J90" s="47"/>
      <c r="K90" s="54"/>
      <c r="L90" s="90"/>
      <c r="M90" s="90"/>
      <c r="N90" s="392"/>
      <c r="O90" s="393"/>
      <c r="P90" s="90"/>
      <c r="Q90" s="90"/>
      <c r="R90" s="90"/>
      <c r="S90" s="90"/>
      <c r="T90" s="90"/>
    </row>
    <row r="91" spans="1:22" s="91" customFormat="1">
      <c r="A91" s="86" t="s">
        <v>346</v>
      </c>
      <c r="B91" s="358" t="s">
        <v>870</v>
      </c>
      <c r="C91" s="191" t="s">
        <v>312</v>
      </c>
      <c r="D91" s="204" t="s">
        <v>28</v>
      </c>
      <c r="E91" s="57">
        <v>94</v>
      </c>
      <c r="F91" s="191"/>
      <c r="G91" s="47"/>
      <c r="H91" s="191"/>
      <c r="I91" s="47"/>
      <c r="J91" s="47"/>
      <c r="K91" s="54"/>
      <c r="L91" s="90"/>
      <c r="M91" s="90"/>
      <c r="N91" s="392"/>
      <c r="O91" s="373"/>
      <c r="P91" s="90"/>
      <c r="Q91" s="90"/>
      <c r="R91" s="90"/>
      <c r="S91" s="90"/>
      <c r="T91" s="90"/>
    </row>
    <row r="92" spans="1:22" s="91" customFormat="1">
      <c r="A92" s="86" t="s">
        <v>347</v>
      </c>
      <c r="B92" s="137"/>
      <c r="C92" s="191" t="s">
        <v>48</v>
      </c>
      <c r="D92" s="173" t="s">
        <v>27</v>
      </c>
      <c r="E92" s="47">
        <f>43+2</f>
        <v>45</v>
      </c>
      <c r="F92" s="47"/>
      <c r="G92" s="47"/>
      <c r="H92" s="47"/>
      <c r="I92" s="47"/>
      <c r="J92" s="47"/>
      <c r="K92" s="54"/>
      <c r="L92" s="90"/>
      <c r="M92" s="90"/>
      <c r="N92" s="392"/>
      <c r="O92" s="373"/>
      <c r="P92" s="90"/>
      <c r="Q92" s="90"/>
      <c r="R92" s="90"/>
      <c r="S92" s="90"/>
      <c r="T92" s="90"/>
    </row>
    <row r="93" spans="1:22" s="91" customFormat="1">
      <c r="A93" s="86" t="s">
        <v>348</v>
      </c>
      <c r="B93" s="137"/>
      <c r="C93" s="184" t="s">
        <v>100</v>
      </c>
      <c r="D93" s="173" t="s">
        <v>27</v>
      </c>
      <c r="E93" s="256">
        <v>41</v>
      </c>
      <c r="F93" s="47"/>
      <c r="G93" s="47"/>
      <c r="H93" s="185"/>
      <c r="I93" s="47"/>
      <c r="J93" s="47"/>
      <c r="K93" s="54"/>
      <c r="L93" s="90"/>
      <c r="M93" s="90"/>
      <c r="N93" s="392"/>
      <c r="O93" s="373"/>
      <c r="P93" s="90"/>
      <c r="Q93" s="90"/>
      <c r="R93" s="90"/>
      <c r="S93" s="90"/>
      <c r="T93" s="90"/>
    </row>
    <row r="94" spans="1:22" s="91" customFormat="1">
      <c r="A94" s="86" t="s">
        <v>349</v>
      </c>
      <c r="B94" s="137"/>
      <c r="C94" s="191" t="s">
        <v>32</v>
      </c>
      <c r="D94" s="173" t="s">
        <v>28</v>
      </c>
      <c r="E94" s="47">
        <f>226.68+3</f>
        <v>229.68</v>
      </c>
      <c r="F94" s="47"/>
      <c r="G94" s="47"/>
      <c r="H94" s="47"/>
      <c r="I94" s="47"/>
      <c r="J94" s="47"/>
      <c r="K94" s="54"/>
      <c r="L94" s="90"/>
      <c r="M94" s="90"/>
      <c r="N94" s="392"/>
      <c r="O94" s="224"/>
      <c r="P94" s="90"/>
      <c r="Q94" s="90"/>
      <c r="R94" s="90"/>
      <c r="S94" s="90"/>
      <c r="T94" s="90"/>
    </row>
    <row r="95" spans="1:22" s="91" customFormat="1">
      <c r="A95" s="86" t="s">
        <v>350</v>
      </c>
      <c r="B95" s="137"/>
      <c r="C95" s="191" t="s">
        <v>89</v>
      </c>
      <c r="D95" s="173" t="s">
        <v>27</v>
      </c>
      <c r="E95" s="47">
        <f>17+2</f>
        <v>19</v>
      </c>
      <c r="F95" s="47"/>
      <c r="G95" s="47"/>
      <c r="H95" s="47"/>
      <c r="I95" s="47"/>
      <c r="J95" s="47"/>
      <c r="K95" s="54"/>
      <c r="L95" s="90"/>
      <c r="M95" s="90"/>
      <c r="N95" s="392"/>
      <c r="O95" s="373"/>
      <c r="P95" s="90"/>
      <c r="Q95" s="90"/>
      <c r="R95" s="90"/>
      <c r="S95" s="90"/>
      <c r="T95" s="90"/>
    </row>
    <row r="96" spans="1:22" s="91" customFormat="1">
      <c r="A96" s="86" t="s">
        <v>351</v>
      </c>
      <c r="B96" s="137"/>
      <c r="C96" s="191" t="s">
        <v>52</v>
      </c>
      <c r="D96" s="173" t="s">
        <v>27</v>
      </c>
      <c r="E96" s="47">
        <v>9</v>
      </c>
      <c r="F96" s="47"/>
      <c r="G96" s="47"/>
      <c r="H96" s="47"/>
      <c r="I96" s="47"/>
      <c r="J96" s="47"/>
      <c r="K96" s="54"/>
      <c r="L96" s="90"/>
      <c r="M96" s="90"/>
      <c r="N96" s="392"/>
      <c r="O96" s="372"/>
      <c r="P96" s="90"/>
      <c r="Q96" s="90"/>
      <c r="R96" s="90"/>
      <c r="S96" s="90"/>
      <c r="T96" s="90"/>
    </row>
    <row r="97" spans="1:20" s="91" customFormat="1">
      <c r="A97" s="86" t="s">
        <v>386</v>
      </c>
      <c r="B97" s="137"/>
      <c r="C97" s="191" t="s">
        <v>53</v>
      </c>
      <c r="D97" s="173" t="s">
        <v>27</v>
      </c>
      <c r="E97" s="47">
        <v>13</v>
      </c>
      <c r="F97" s="47"/>
      <c r="G97" s="47"/>
      <c r="H97" s="47"/>
      <c r="I97" s="47"/>
      <c r="J97" s="47"/>
      <c r="K97" s="54"/>
      <c r="L97" s="90"/>
      <c r="M97" s="90"/>
      <c r="N97" s="392"/>
      <c r="O97" s="372"/>
      <c r="P97" s="90"/>
      <c r="Q97" s="90"/>
      <c r="R97" s="90"/>
      <c r="S97" s="90"/>
      <c r="T97" s="90"/>
    </row>
    <row r="98" spans="1:20" s="91" customFormat="1">
      <c r="A98" s="86" t="s">
        <v>387</v>
      </c>
      <c r="B98" s="137"/>
      <c r="C98" s="191" t="s">
        <v>88</v>
      </c>
      <c r="D98" s="173" t="s">
        <v>27</v>
      </c>
      <c r="E98" s="47">
        <v>2</v>
      </c>
      <c r="F98" s="47"/>
      <c r="G98" s="47"/>
      <c r="H98" s="47"/>
      <c r="I98" s="47"/>
      <c r="J98" s="47"/>
      <c r="K98" s="54"/>
      <c r="L98" s="90"/>
      <c r="M98" s="90"/>
      <c r="N98" s="396"/>
      <c r="O98" s="372"/>
      <c r="P98" s="90"/>
      <c r="Q98" s="90"/>
      <c r="R98" s="90"/>
      <c r="S98" s="90"/>
      <c r="T98" s="90"/>
    </row>
    <row r="99" spans="1:20" s="91" customFormat="1">
      <c r="A99" s="86" t="s">
        <v>389</v>
      </c>
      <c r="B99" s="137"/>
      <c r="C99" s="186" t="s">
        <v>314</v>
      </c>
      <c r="D99" s="173" t="s">
        <v>27</v>
      </c>
      <c r="E99" s="47">
        <v>27</v>
      </c>
      <c r="F99" s="186"/>
      <c r="G99" s="47"/>
      <c r="H99" s="47"/>
      <c r="I99" s="47"/>
      <c r="J99" s="47"/>
      <c r="K99" s="54"/>
      <c r="L99" s="90"/>
      <c r="M99" s="90"/>
      <c r="N99" s="396"/>
      <c r="O99" s="372"/>
      <c r="P99" s="90"/>
      <c r="Q99" s="90"/>
      <c r="R99" s="90"/>
      <c r="S99" s="90"/>
      <c r="T99" s="90"/>
    </row>
    <row r="100" spans="1:20" s="91" customFormat="1">
      <c r="A100" s="86" t="s">
        <v>390</v>
      </c>
      <c r="B100" s="137"/>
      <c r="C100" s="186" t="s">
        <v>91</v>
      </c>
      <c r="D100" s="173" t="s">
        <v>27</v>
      </c>
      <c r="E100" s="47">
        <v>14</v>
      </c>
      <c r="F100" s="186"/>
      <c r="G100" s="47"/>
      <c r="H100" s="186"/>
      <c r="I100" s="47"/>
      <c r="J100" s="47"/>
      <c r="K100" s="54"/>
      <c r="L100" s="90"/>
      <c r="M100" s="90"/>
      <c r="N100" s="396"/>
      <c r="O100" s="11"/>
      <c r="P100" s="90"/>
      <c r="Q100" s="90"/>
      <c r="R100" s="90"/>
      <c r="S100" s="90"/>
      <c r="T100" s="90"/>
    </row>
    <row r="101" spans="1:20" s="91" customFormat="1">
      <c r="A101" s="86" t="s">
        <v>400</v>
      </c>
      <c r="B101" s="137"/>
      <c r="C101" s="186" t="s">
        <v>315</v>
      </c>
      <c r="D101" s="173" t="s">
        <v>27</v>
      </c>
      <c r="E101" s="47">
        <v>2</v>
      </c>
      <c r="F101" s="47"/>
      <c r="G101" s="47"/>
      <c r="H101" s="186"/>
      <c r="I101" s="47"/>
      <c r="J101" s="47"/>
      <c r="K101" s="54"/>
      <c r="L101" s="90"/>
      <c r="M101" s="90"/>
      <c r="N101" s="392"/>
      <c r="O101" s="372"/>
      <c r="P101" s="90"/>
      <c r="Q101" s="90"/>
      <c r="R101" s="90"/>
      <c r="S101" s="90"/>
      <c r="T101" s="90"/>
    </row>
    <row r="102" spans="1:20" s="91" customFormat="1">
      <c r="A102" s="86" t="s">
        <v>401</v>
      </c>
      <c r="B102" s="359" t="s">
        <v>852</v>
      </c>
      <c r="C102" s="186" t="s">
        <v>604</v>
      </c>
      <c r="D102" s="173" t="s">
        <v>27</v>
      </c>
      <c r="E102" s="47">
        <v>1</v>
      </c>
      <c r="F102" s="47"/>
      <c r="G102" s="47"/>
      <c r="H102" s="186"/>
      <c r="I102" s="47"/>
      <c r="J102" s="47"/>
      <c r="K102" s="54"/>
      <c r="L102" s="90"/>
      <c r="M102" s="90"/>
      <c r="N102" s="90"/>
      <c r="O102" s="90"/>
      <c r="P102" s="90"/>
      <c r="Q102" s="90"/>
      <c r="R102" s="90"/>
      <c r="S102" s="90"/>
      <c r="T102" s="90"/>
    </row>
    <row r="103" spans="1:20" s="91" customFormat="1">
      <c r="A103" s="86" t="s">
        <v>402</v>
      </c>
      <c r="B103" s="359" t="s">
        <v>852</v>
      </c>
      <c r="C103" s="186" t="s">
        <v>50</v>
      </c>
      <c r="D103" s="173" t="s">
        <v>27</v>
      </c>
      <c r="E103" s="47">
        <v>7</v>
      </c>
      <c r="F103" s="47"/>
      <c r="G103" s="47"/>
      <c r="H103" s="186"/>
      <c r="I103" s="47"/>
      <c r="J103" s="47"/>
      <c r="K103" s="54"/>
      <c r="L103" s="90"/>
      <c r="M103" s="90"/>
      <c r="N103" s="90"/>
      <c r="O103" s="90"/>
      <c r="P103" s="90"/>
      <c r="Q103" s="90"/>
      <c r="R103" s="90"/>
      <c r="S103" s="90"/>
      <c r="T103" s="90"/>
    </row>
    <row r="104" spans="1:20" s="91" customFormat="1">
      <c r="A104" s="86" t="s">
        <v>403</v>
      </c>
      <c r="B104" s="359" t="s">
        <v>852</v>
      </c>
      <c r="C104" s="186" t="s">
        <v>90</v>
      </c>
      <c r="D104" s="173" t="s">
        <v>27</v>
      </c>
      <c r="E104" s="47">
        <v>8</v>
      </c>
      <c r="F104" s="47"/>
      <c r="G104" s="47"/>
      <c r="H104" s="186"/>
      <c r="I104" s="47"/>
      <c r="J104" s="47"/>
      <c r="K104" s="54"/>
      <c r="L104" s="90"/>
      <c r="M104" s="90"/>
      <c r="N104" s="90"/>
      <c r="O104" s="90"/>
      <c r="P104" s="90"/>
      <c r="Q104" s="90"/>
      <c r="R104" s="90"/>
      <c r="S104" s="90"/>
      <c r="T104" s="90"/>
    </row>
    <row r="105" spans="1:20" s="91" customFormat="1">
      <c r="A105" s="86" t="s">
        <v>404</v>
      </c>
      <c r="B105" s="359" t="s">
        <v>852</v>
      </c>
      <c r="C105" s="186" t="s">
        <v>316</v>
      </c>
      <c r="D105" s="173" t="s">
        <v>27</v>
      </c>
      <c r="E105" s="47">
        <v>2</v>
      </c>
      <c r="F105" s="47"/>
      <c r="G105" s="47"/>
      <c r="H105" s="186"/>
      <c r="I105" s="47"/>
      <c r="J105" s="47"/>
      <c r="K105" s="54"/>
      <c r="L105" s="90"/>
      <c r="M105" s="90"/>
      <c r="N105" s="90"/>
      <c r="O105" s="90"/>
      <c r="P105" s="90"/>
      <c r="Q105" s="90"/>
      <c r="R105" s="90"/>
      <c r="S105" s="90"/>
      <c r="T105" s="90"/>
    </row>
    <row r="106" spans="1:20" s="91" customFormat="1">
      <c r="A106" s="86" t="s">
        <v>405</v>
      </c>
      <c r="B106" s="137"/>
      <c r="C106" s="186" t="s">
        <v>317</v>
      </c>
      <c r="D106" s="173" t="s">
        <v>27</v>
      </c>
      <c r="E106" s="47">
        <v>1</v>
      </c>
      <c r="F106" s="47"/>
      <c r="G106" s="47"/>
      <c r="H106" s="186"/>
      <c r="I106" s="47"/>
      <c r="J106" s="47"/>
      <c r="K106" s="54"/>
      <c r="L106" s="90"/>
      <c r="M106" s="90"/>
      <c r="N106" s="90"/>
      <c r="O106" s="90"/>
      <c r="P106" s="90"/>
      <c r="Q106" s="90"/>
      <c r="R106" s="90"/>
      <c r="S106" s="90"/>
      <c r="T106" s="90"/>
    </row>
    <row r="107" spans="1:20" s="91" customFormat="1">
      <c r="A107" s="86"/>
      <c r="B107" s="137"/>
      <c r="C107" s="186" t="s">
        <v>93</v>
      </c>
      <c r="D107" s="173" t="s">
        <v>27</v>
      </c>
      <c r="E107" s="47">
        <v>7</v>
      </c>
      <c r="F107" s="47"/>
      <c r="G107" s="47"/>
      <c r="H107" s="186"/>
      <c r="I107" s="47"/>
      <c r="J107" s="47"/>
      <c r="K107" s="54"/>
      <c r="L107" s="90"/>
      <c r="M107" s="90"/>
      <c r="N107" s="90"/>
      <c r="O107" s="90"/>
      <c r="P107" s="90"/>
      <c r="Q107" s="90"/>
      <c r="R107" s="90"/>
      <c r="S107" s="90"/>
      <c r="T107" s="90"/>
    </row>
    <row r="108" spans="1:20" s="91" customFormat="1">
      <c r="A108" s="86" t="s">
        <v>406</v>
      </c>
      <c r="B108" s="389" t="s">
        <v>854</v>
      </c>
      <c r="C108" s="186" t="s">
        <v>92</v>
      </c>
      <c r="D108" s="173" t="s">
        <v>27</v>
      </c>
      <c r="E108" s="47">
        <v>1</v>
      </c>
      <c r="F108" s="47"/>
      <c r="G108" s="47"/>
      <c r="H108" s="186"/>
      <c r="I108" s="47"/>
      <c r="J108" s="47"/>
      <c r="K108" s="54"/>
      <c r="L108" s="90"/>
      <c r="M108" s="90"/>
      <c r="N108" s="90"/>
      <c r="O108" s="90"/>
      <c r="P108" s="90"/>
      <c r="Q108" s="90"/>
      <c r="R108" s="90"/>
      <c r="S108" s="90"/>
      <c r="T108" s="90"/>
    </row>
    <row r="109" spans="1:20">
      <c r="A109" s="479" t="s">
        <v>84</v>
      </c>
      <c r="B109" s="480"/>
      <c r="C109" s="480"/>
      <c r="D109" s="480"/>
      <c r="E109" s="480"/>
      <c r="F109" s="480"/>
      <c r="G109" s="480"/>
      <c r="H109" s="480"/>
      <c r="I109" s="481"/>
      <c r="J109" s="23"/>
      <c r="K109" s="39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 s="53" customFormat="1">
      <c r="A110" s="60" t="s">
        <v>46</v>
      </c>
      <c r="B110" s="486" t="s">
        <v>112</v>
      </c>
      <c r="C110" s="487"/>
      <c r="D110" s="487"/>
      <c r="E110" s="487"/>
      <c r="F110" s="487"/>
      <c r="G110" s="487"/>
      <c r="H110" s="487"/>
      <c r="I110" s="487"/>
      <c r="J110" s="487"/>
      <c r="K110" s="488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0" s="53" customFormat="1">
      <c r="A111" s="48" t="s">
        <v>352</v>
      </c>
      <c r="B111" s="48"/>
      <c r="C111" s="184" t="s">
        <v>94</v>
      </c>
      <c r="D111" s="205" t="s">
        <v>28</v>
      </c>
      <c r="E111" s="261">
        <v>116.2</v>
      </c>
      <c r="F111" s="47"/>
      <c r="G111" s="47"/>
      <c r="H111" s="47"/>
      <c r="I111" s="47"/>
      <c r="J111" s="47"/>
      <c r="K111" s="54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 s="53" customFormat="1">
      <c r="A112" s="48" t="s">
        <v>353</v>
      </c>
      <c r="B112" s="48"/>
      <c r="C112" s="184" t="s">
        <v>95</v>
      </c>
      <c r="D112" s="173" t="s">
        <v>27</v>
      </c>
      <c r="E112" s="261">
        <v>4</v>
      </c>
      <c r="F112" s="185"/>
      <c r="G112" s="47"/>
      <c r="H112" s="185"/>
      <c r="I112" s="47"/>
      <c r="J112" s="47"/>
      <c r="K112" s="54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2" s="53" customFormat="1">
      <c r="A113" s="48" t="s">
        <v>354</v>
      </c>
      <c r="B113" s="48"/>
      <c r="C113" s="184" t="s">
        <v>99</v>
      </c>
      <c r="D113" s="173" t="s">
        <v>27</v>
      </c>
      <c r="E113" s="261">
        <v>4</v>
      </c>
      <c r="F113" s="185"/>
      <c r="G113" s="47"/>
      <c r="H113" s="185"/>
      <c r="I113" s="47"/>
      <c r="J113" s="47"/>
      <c r="K113" s="54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2" s="53" customFormat="1" ht="24.75">
      <c r="A114" s="48" t="s">
        <v>355</v>
      </c>
      <c r="B114" s="48"/>
      <c r="C114" s="206" t="s">
        <v>97</v>
      </c>
      <c r="D114" s="171" t="s">
        <v>27</v>
      </c>
      <c r="E114" s="261">
        <v>1</v>
      </c>
      <c r="F114" s="185"/>
      <c r="G114" s="257"/>
      <c r="H114" s="185"/>
      <c r="I114" s="257"/>
      <c r="J114" s="257"/>
      <c r="K114" s="54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2" s="53" customFormat="1">
      <c r="A115" s="48" t="s">
        <v>356</v>
      </c>
      <c r="B115" s="48"/>
      <c r="C115" s="184" t="s">
        <v>98</v>
      </c>
      <c r="D115" s="205" t="s">
        <v>28</v>
      </c>
      <c r="E115" s="261">
        <v>89.39</v>
      </c>
      <c r="F115" s="185"/>
      <c r="G115" s="47"/>
      <c r="H115" s="185"/>
      <c r="I115" s="47"/>
      <c r="J115" s="47"/>
      <c r="K115" s="54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2" s="53" customFormat="1">
      <c r="A116" s="48" t="s">
        <v>357</v>
      </c>
      <c r="B116" s="48"/>
      <c r="C116" s="243" t="s">
        <v>96</v>
      </c>
      <c r="D116" s="208" t="s">
        <v>28</v>
      </c>
      <c r="E116" s="262">
        <v>139.44</v>
      </c>
      <c r="F116" s="209"/>
      <c r="G116" s="47"/>
      <c r="H116" s="209"/>
      <c r="I116" s="47"/>
      <c r="J116" s="47"/>
      <c r="K116" s="54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2" s="53" customFormat="1">
      <c r="A117" s="48" t="s">
        <v>358</v>
      </c>
      <c r="B117" s="48"/>
      <c r="C117" s="191" t="s">
        <v>48</v>
      </c>
      <c r="D117" s="173" t="s">
        <v>27</v>
      </c>
      <c r="E117" s="172">
        <v>12</v>
      </c>
      <c r="F117" s="47"/>
      <c r="G117" s="47"/>
      <c r="H117" s="47"/>
      <c r="I117" s="47"/>
      <c r="J117" s="47"/>
      <c r="K117" s="54"/>
      <c r="L117" s="11"/>
      <c r="M117" s="11"/>
      <c r="N117" s="11"/>
      <c r="O117" s="11"/>
      <c r="P117" s="11"/>
      <c r="Q117" s="11"/>
      <c r="R117" s="11"/>
      <c r="S117" s="11"/>
      <c r="T117" s="11"/>
      <c r="U117" s="252"/>
      <c r="V117" s="252"/>
    </row>
    <row r="118" spans="1:22" s="53" customFormat="1">
      <c r="A118" s="482" t="s">
        <v>85</v>
      </c>
      <c r="B118" s="483"/>
      <c r="C118" s="483"/>
      <c r="D118" s="483"/>
      <c r="E118" s="483"/>
      <c r="F118" s="483"/>
      <c r="G118" s="483"/>
      <c r="H118" s="483"/>
      <c r="I118" s="484"/>
      <c r="J118" s="259"/>
      <c r="K118" s="259"/>
      <c r="L118" s="11"/>
      <c r="M118" s="11"/>
      <c r="N118" s="11"/>
      <c r="O118" s="11"/>
      <c r="P118" s="11"/>
      <c r="Q118" s="11"/>
      <c r="R118" s="11"/>
      <c r="S118" s="11"/>
      <c r="T118" s="11"/>
      <c r="U118" s="252"/>
      <c r="V118" s="252"/>
    </row>
    <row r="119" spans="1:22" s="53" customFormat="1">
      <c r="A119" s="60" t="s">
        <v>138</v>
      </c>
      <c r="B119" s="559" t="s">
        <v>54</v>
      </c>
      <c r="C119" s="560"/>
      <c r="D119" s="560"/>
      <c r="E119" s="560"/>
      <c r="F119" s="560"/>
      <c r="G119" s="560"/>
      <c r="H119" s="560"/>
      <c r="I119" s="560"/>
      <c r="J119" s="560"/>
      <c r="K119" s="561"/>
      <c r="L119" s="11"/>
      <c r="M119" s="11"/>
      <c r="N119" s="11"/>
      <c r="O119" s="11"/>
      <c r="P119" s="11"/>
      <c r="Q119" s="11"/>
      <c r="R119" s="11"/>
      <c r="S119" s="11"/>
      <c r="T119" s="11"/>
      <c r="U119" s="252"/>
      <c r="V119" s="252"/>
    </row>
    <row r="120" spans="1:22" s="53" customFormat="1">
      <c r="A120" s="48" t="s">
        <v>359</v>
      </c>
      <c r="B120" s="365" t="s">
        <v>747</v>
      </c>
      <c r="C120" s="186" t="s">
        <v>336</v>
      </c>
      <c r="D120" s="173" t="s">
        <v>28</v>
      </c>
      <c r="E120" s="47">
        <v>49.78</v>
      </c>
      <c r="F120" s="47"/>
      <c r="G120" s="47"/>
      <c r="H120" s="47"/>
      <c r="I120" s="47"/>
      <c r="J120" s="47"/>
      <c r="K120" s="54"/>
      <c r="L120" s="11"/>
      <c r="M120" s="11"/>
      <c r="N120" s="11"/>
      <c r="O120" s="11"/>
      <c r="P120" s="11"/>
      <c r="Q120" s="11"/>
      <c r="R120" s="11"/>
      <c r="S120" s="11"/>
      <c r="T120" s="11"/>
      <c r="U120" s="252"/>
      <c r="V120" s="252"/>
    </row>
    <row r="121" spans="1:22" s="53" customFormat="1">
      <c r="A121" s="48" t="s">
        <v>360</v>
      </c>
      <c r="B121" s="365" t="s">
        <v>856</v>
      </c>
      <c r="C121" s="186" t="s">
        <v>337</v>
      </c>
      <c r="D121" s="173" t="s">
        <v>28</v>
      </c>
      <c r="E121" s="47">
        <v>5.2</v>
      </c>
      <c r="F121" s="47"/>
      <c r="G121" s="47"/>
      <c r="H121" s="47"/>
      <c r="I121" s="47"/>
      <c r="J121" s="47"/>
      <c r="K121" s="54"/>
      <c r="L121" s="11"/>
      <c r="M121" s="11"/>
      <c r="N121" s="11"/>
      <c r="O121" s="395"/>
      <c r="P121" s="372"/>
      <c r="Q121" s="11"/>
      <c r="R121" s="11"/>
      <c r="S121" s="11"/>
      <c r="T121" s="11"/>
      <c r="U121" s="252"/>
      <c r="V121" s="252"/>
    </row>
    <row r="122" spans="1:22" s="53" customFormat="1">
      <c r="A122" s="48" t="s">
        <v>361</v>
      </c>
      <c r="B122" s="365" t="s">
        <v>857</v>
      </c>
      <c r="C122" s="186" t="s">
        <v>338</v>
      </c>
      <c r="D122" s="173" t="s">
        <v>28</v>
      </c>
      <c r="E122" s="47">
        <v>20.99</v>
      </c>
      <c r="F122" s="47"/>
      <c r="G122" s="47"/>
      <c r="H122" s="47"/>
      <c r="I122" s="47"/>
      <c r="J122" s="47"/>
      <c r="K122" s="54"/>
      <c r="L122" s="11"/>
      <c r="M122" s="11"/>
      <c r="N122" s="11"/>
      <c r="O122" s="395"/>
      <c r="P122" s="372"/>
      <c r="Q122" s="11"/>
      <c r="R122" s="11"/>
      <c r="S122" s="11"/>
      <c r="T122" s="11"/>
      <c r="U122" s="252"/>
      <c r="V122" s="252"/>
    </row>
    <row r="123" spans="1:22" s="53" customFormat="1">
      <c r="A123" s="48" t="s">
        <v>362</v>
      </c>
      <c r="B123" s="365" t="s">
        <v>859</v>
      </c>
      <c r="C123" s="186" t="s">
        <v>339</v>
      </c>
      <c r="D123" s="173" t="s">
        <v>28</v>
      </c>
      <c r="E123" s="47">
        <v>65.739999999999995</v>
      </c>
      <c r="F123" s="47"/>
      <c r="G123" s="47"/>
      <c r="H123" s="47"/>
      <c r="I123" s="47"/>
      <c r="J123" s="47"/>
      <c r="K123" s="54"/>
      <c r="L123" s="11"/>
      <c r="M123" s="11"/>
      <c r="N123" s="11"/>
      <c r="O123" s="395"/>
      <c r="P123" s="372"/>
      <c r="Q123" s="11"/>
      <c r="R123" s="11"/>
      <c r="S123" s="11"/>
      <c r="T123" s="11"/>
      <c r="U123" s="252"/>
      <c r="V123" s="252"/>
    </row>
    <row r="124" spans="1:22" s="53" customFormat="1">
      <c r="A124" s="48" t="s">
        <v>363</v>
      </c>
      <c r="B124" s="365" t="s">
        <v>862</v>
      </c>
      <c r="C124" s="186" t="s">
        <v>340</v>
      </c>
      <c r="D124" s="173" t="s">
        <v>28</v>
      </c>
      <c r="E124" s="47">
        <v>16.190000000000001</v>
      </c>
      <c r="F124" s="47"/>
      <c r="G124" s="47"/>
      <c r="H124" s="47"/>
      <c r="I124" s="47"/>
      <c r="J124" s="47"/>
      <c r="K124" s="54"/>
      <c r="L124" s="11"/>
      <c r="M124" s="11"/>
      <c r="N124" s="11"/>
      <c r="O124" s="395"/>
      <c r="P124" s="372"/>
      <c r="Q124" s="11"/>
      <c r="R124" s="11"/>
      <c r="S124" s="11"/>
      <c r="T124" s="11"/>
      <c r="U124" s="252"/>
      <c r="V124" s="252"/>
    </row>
    <row r="125" spans="1:22" s="53" customFormat="1">
      <c r="A125" s="48" t="s">
        <v>364</v>
      </c>
      <c r="B125" s="48"/>
      <c r="C125" s="186" t="s">
        <v>622</v>
      </c>
      <c r="D125" s="173" t="s">
        <v>28</v>
      </c>
      <c r="E125" s="47">
        <v>59</v>
      </c>
      <c r="F125" s="47"/>
      <c r="G125" s="47"/>
      <c r="H125" s="47"/>
      <c r="I125" s="47"/>
      <c r="J125" s="47"/>
      <c r="K125" s="54"/>
      <c r="L125" s="11"/>
      <c r="M125" s="11"/>
      <c r="N125" s="11"/>
      <c r="O125" s="395"/>
      <c r="P125" s="372"/>
      <c r="Q125" s="11"/>
      <c r="R125" s="11"/>
      <c r="S125" s="11"/>
      <c r="T125" s="11"/>
      <c r="U125" s="252"/>
      <c r="V125" s="252"/>
    </row>
    <row r="126" spans="1:22" s="53" customFormat="1">
      <c r="A126" s="48" t="s">
        <v>365</v>
      </c>
      <c r="B126" s="48"/>
      <c r="C126" s="186" t="s">
        <v>623</v>
      </c>
      <c r="D126" s="173" t="s">
        <v>28</v>
      </c>
      <c r="E126" s="47">
        <v>68.47</v>
      </c>
      <c r="F126" s="47"/>
      <c r="G126" s="47"/>
      <c r="H126" s="47"/>
      <c r="I126" s="47"/>
      <c r="J126" s="47"/>
      <c r="K126" s="54"/>
      <c r="L126" s="11"/>
      <c r="M126" s="11"/>
      <c r="N126" s="11"/>
      <c r="O126" s="395"/>
      <c r="P126" s="372"/>
      <c r="Q126" s="11"/>
      <c r="R126" s="11"/>
      <c r="S126" s="11"/>
      <c r="T126" s="11"/>
      <c r="U126" s="252"/>
      <c r="V126" s="252"/>
    </row>
    <row r="127" spans="1:22" s="53" customFormat="1">
      <c r="A127" s="48" t="s">
        <v>366</v>
      </c>
      <c r="B127" s="365">
        <v>72557</v>
      </c>
      <c r="C127" s="186" t="s">
        <v>55</v>
      </c>
      <c r="D127" s="173" t="s">
        <v>27</v>
      </c>
      <c r="E127" s="47">
        <v>17</v>
      </c>
      <c r="F127" s="47"/>
      <c r="G127" s="47"/>
      <c r="H127" s="47"/>
      <c r="I127" s="47"/>
      <c r="J127" s="47"/>
      <c r="K127" s="54"/>
      <c r="L127" s="11"/>
      <c r="M127" s="11"/>
      <c r="N127" s="11"/>
      <c r="O127" s="395"/>
      <c r="P127" s="372"/>
      <c r="Q127" s="11"/>
      <c r="R127" s="11"/>
      <c r="S127" s="11"/>
      <c r="T127" s="11"/>
      <c r="U127" s="252"/>
      <c r="V127" s="252"/>
    </row>
    <row r="128" spans="1:22" s="53" customFormat="1">
      <c r="A128" s="48" t="s">
        <v>367</v>
      </c>
      <c r="B128" s="365">
        <v>72564</v>
      </c>
      <c r="C128" s="186" t="s">
        <v>57</v>
      </c>
      <c r="D128" s="173" t="s">
        <v>27</v>
      </c>
      <c r="E128" s="47">
        <v>4</v>
      </c>
      <c r="F128" s="47"/>
      <c r="G128" s="47"/>
      <c r="H128" s="47"/>
      <c r="I128" s="47"/>
      <c r="J128" s="47"/>
      <c r="K128" s="54"/>
      <c r="L128" s="11"/>
      <c r="M128" s="11"/>
      <c r="N128" s="11"/>
      <c r="O128" s="395"/>
      <c r="P128" s="372"/>
      <c r="Q128" s="11"/>
      <c r="R128" s="11"/>
      <c r="S128" s="11"/>
      <c r="T128" s="11"/>
      <c r="U128" s="252"/>
      <c r="V128" s="252"/>
    </row>
    <row r="129" spans="1:22" s="53" customFormat="1">
      <c r="A129" s="48" t="s">
        <v>368</v>
      </c>
      <c r="B129" s="369">
        <v>72580</v>
      </c>
      <c r="C129" s="186" t="s">
        <v>291</v>
      </c>
      <c r="D129" s="173" t="s">
        <v>27</v>
      </c>
      <c r="E129" s="47">
        <v>7</v>
      </c>
      <c r="F129" s="47"/>
      <c r="G129" s="47"/>
      <c r="H129" s="47"/>
      <c r="I129" s="47"/>
      <c r="J129" s="47"/>
      <c r="K129" s="54"/>
      <c r="L129" s="11"/>
      <c r="M129" s="11"/>
      <c r="N129" s="11"/>
      <c r="O129" s="395"/>
      <c r="P129" s="372"/>
      <c r="Q129" s="11"/>
      <c r="R129" s="11"/>
      <c r="S129" s="11"/>
      <c r="T129" s="11"/>
      <c r="U129" s="252"/>
      <c r="V129" s="252"/>
    </row>
    <row r="130" spans="1:22" s="53" customFormat="1">
      <c r="A130" s="48" t="s">
        <v>369</v>
      </c>
      <c r="B130" s="48"/>
      <c r="C130" s="186" t="s">
        <v>292</v>
      </c>
      <c r="D130" s="173" t="s">
        <v>27</v>
      </c>
      <c r="E130" s="47">
        <v>14</v>
      </c>
      <c r="F130" s="47"/>
      <c r="G130" s="47"/>
      <c r="H130" s="47"/>
      <c r="I130" s="47"/>
      <c r="J130" s="47"/>
      <c r="K130" s="54"/>
      <c r="L130" s="11"/>
      <c r="M130" s="11"/>
      <c r="N130" s="11"/>
      <c r="O130" s="395"/>
      <c r="P130" s="372"/>
      <c r="Q130" s="11"/>
      <c r="R130" s="11"/>
      <c r="S130" s="11"/>
      <c r="T130" s="11"/>
      <c r="U130" s="252"/>
      <c r="V130" s="252"/>
    </row>
    <row r="131" spans="1:22" s="53" customFormat="1">
      <c r="A131" s="48" t="s">
        <v>370</v>
      </c>
      <c r="B131" s="48"/>
      <c r="C131" s="186" t="s">
        <v>615</v>
      </c>
      <c r="D131" s="173" t="s">
        <v>27</v>
      </c>
      <c r="E131" s="47">
        <v>20</v>
      </c>
      <c r="F131" s="47"/>
      <c r="G131" s="47"/>
      <c r="H131" s="47"/>
      <c r="I131" s="47"/>
      <c r="J131" s="47"/>
      <c r="K131" s="54"/>
      <c r="L131" s="11"/>
      <c r="M131" s="11"/>
      <c r="N131" s="11"/>
      <c r="O131" s="395"/>
      <c r="P131" s="372"/>
      <c r="Q131" s="11"/>
      <c r="R131" s="11"/>
      <c r="S131" s="11"/>
      <c r="T131" s="11"/>
      <c r="U131" s="252"/>
      <c r="V131" s="252"/>
    </row>
    <row r="132" spans="1:22" s="53" customFormat="1">
      <c r="A132" s="48" t="s">
        <v>371</v>
      </c>
      <c r="B132" s="48"/>
      <c r="C132" s="186" t="s">
        <v>616</v>
      </c>
      <c r="D132" s="173" t="s">
        <v>27</v>
      </c>
      <c r="E132" s="47">
        <v>5</v>
      </c>
      <c r="F132" s="47"/>
      <c r="G132" s="47"/>
      <c r="H132" s="47"/>
      <c r="I132" s="47"/>
      <c r="J132" s="47"/>
      <c r="K132" s="54"/>
      <c r="L132" s="11"/>
      <c r="M132" s="11"/>
      <c r="N132" s="11"/>
      <c r="O132" s="403"/>
      <c r="P132" s="372"/>
      <c r="Q132" s="11"/>
      <c r="R132" s="11"/>
      <c r="S132" s="11"/>
      <c r="T132" s="11"/>
      <c r="U132" s="252"/>
      <c r="V132" s="252"/>
    </row>
    <row r="133" spans="1:22" s="53" customFormat="1">
      <c r="A133" s="48" t="s">
        <v>372</v>
      </c>
      <c r="B133" s="48"/>
      <c r="C133" s="186" t="s">
        <v>58</v>
      </c>
      <c r="D133" s="173" t="s">
        <v>27</v>
      </c>
      <c r="E133" s="47">
        <v>1</v>
      </c>
      <c r="F133" s="47"/>
      <c r="G133" s="47"/>
      <c r="H133" s="47"/>
      <c r="I133" s="47"/>
      <c r="J133" s="47"/>
      <c r="K133" s="54"/>
      <c r="L133" s="11"/>
      <c r="M133" s="11"/>
      <c r="N133" s="11"/>
      <c r="O133" s="403"/>
      <c r="P133" s="372"/>
      <c r="Q133" s="11"/>
      <c r="R133" s="11"/>
      <c r="S133" s="11"/>
      <c r="T133" s="11"/>
      <c r="U133" s="252"/>
      <c r="V133" s="252"/>
    </row>
    <row r="134" spans="1:22" s="53" customFormat="1">
      <c r="A134" s="48" t="s">
        <v>373</v>
      </c>
      <c r="B134" s="48"/>
      <c r="C134" s="186" t="s">
        <v>59</v>
      </c>
      <c r="D134" s="173" t="s">
        <v>27</v>
      </c>
      <c r="E134" s="47">
        <v>5</v>
      </c>
      <c r="F134" s="47"/>
      <c r="G134" s="47"/>
      <c r="H134" s="47"/>
      <c r="I134" s="47"/>
      <c r="J134" s="47"/>
      <c r="K134" s="54"/>
      <c r="L134" s="11"/>
      <c r="M134" s="11"/>
      <c r="N134" s="11"/>
      <c r="O134" s="403"/>
      <c r="P134" s="372"/>
      <c r="Q134" s="11"/>
      <c r="R134" s="11"/>
      <c r="S134" s="11"/>
      <c r="T134" s="11"/>
      <c r="U134" s="252"/>
      <c r="V134" s="252"/>
    </row>
    <row r="135" spans="1:22" s="53" customFormat="1">
      <c r="A135" s="48" t="s">
        <v>374</v>
      </c>
      <c r="B135" s="48"/>
      <c r="C135" s="186" t="s">
        <v>293</v>
      </c>
      <c r="D135" s="173" t="s">
        <v>27</v>
      </c>
      <c r="E135" s="47">
        <v>4</v>
      </c>
      <c r="F135" s="47"/>
      <c r="G135" s="47"/>
      <c r="H135" s="47"/>
      <c r="I135" s="47"/>
      <c r="J135" s="47"/>
      <c r="K135" s="54"/>
      <c r="L135" s="11"/>
      <c r="M135" s="11"/>
      <c r="N135" s="11"/>
      <c r="O135" s="403"/>
      <c r="P135" s="372"/>
      <c r="Q135" s="11"/>
      <c r="R135" s="11"/>
      <c r="S135" s="11"/>
      <c r="T135" s="11"/>
      <c r="U135" s="252"/>
      <c r="V135" s="252"/>
    </row>
    <row r="136" spans="1:22" s="53" customFormat="1">
      <c r="A136" s="48" t="s">
        <v>375</v>
      </c>
      <c r="B136" s="48"/>
      <c r="C136" s="186" t="s">
        <v>617</v>
      </c>
      <c r="D136" s="173" t="s">
        <v>27</v>
      </c>
      <c r="E136" s="47">
        <v>3</v>
      </c>
      <c r="F136" s="47"/>
      <c r="G136" s="47"/>
      <c r="H136" s="47"/>
      <c r="I136" s="47"/>
      <c r="J136" s="47"/>
      <c r="K136" s="54"/>
      <c r="L136" s="11"/>
      <c r="M136" s="11"/>
      <c r="N136" s="11"/>
      <c r="O136" s="404"/>
      <c r="P136" s="372"/>
      <c r="Q136" s="11"/>
      <c r="R136" s="11"/>
      <c r="S136" s="11"/>
      <c r="T136" s="11"/>
      <c r="U136" s="252"/>
      <c r="V136" s="252"/>
    </row>
    <row r="137" spans="1:22" s="53" customFormat="1">
      <c r="A137" s="48" t="s">
        <v>376</v>
      </c>
      <c r="B137" s="48"/>
      <c r="C137" s="186" t="s">
        <v>618</v>
      </c>
      <c r="D137" s="173" t="s">
        <v>27</v>
      </c>
      <c r="E137" s="47">
        <v>5</v>
      </c>
      <c r="F137" s="47"/>
      <c r="G137" s="47"/>
      <c r="H137" s="47"/>
      <c r="I137" s="47"/>
      <c r="J137" s="47"/>
      <c r="K137" s="54"/>
      <c r="L137" s="11"/>
      <c r="M137" s="11"/>
      <c r="N137" s="11"/>
      <c r="O137" s="404"/>
      <c r="P137" s="372"/>
      <c r="Q137" s="11"/>
      <c r="R137" s="11"/>
      <c r="S137" s="11"/>
      <c r="T137" s="11"/>
      <c r="U137" s="252"/>
      <c r="V137" s="252"/>
    </row>
    <row r="138" spans="1:22" s="53" customFormat="1">
      <c r="A138" s="48" t="s">
        <v>377</v>
      </c>
      <c r="B138" s="48"/>
      <c r="C138" s="186" t="s">
        <v>619</v>
      </c>
      <c r="D138" s="173" t="s">
        <v>27</v>
      </c>
      <c r="E138" s="47">
        <v>10</v>
      </c>
      <c r="F138" s="47"/>
      <c r="G138" s="47"/>
      <c r="H138" s="47"/>
      <c r="I138" s="47"/>
      <c r="J138" s="47"/>
      <c r="K138" s="54"/>
      <c r="L138" s="11"/>
      <c r="M138" s="11"/>
      <c r="N138" s="11"/>
      <c r="O138" s="404"/>
      <c r="P138" s="372"/>
      <c r="Q138" s="11"/>
      <c r="R138" s="11"/>
      <c r="S138" s="11"/>
      <c r="T138" s="11"/>
      <c r="U138" s="252"/>
      <c r="V138" s="252"/>
    </row>
    <row r="139" spans="1:22" s="53" customFormat="1">
      <c r="A139" s="48" t="s">
        <v>378</v>
      </c>
      <c r="B139" s="48"/>
      <c r="C139" s="186" t="s">
        <v>60</v>
      </c>
      <c r="D139" s="173" t="s">
        <v>27</v>
      </c>
      <c r="E139" s="47">
        <v>10</v>
      </c>
      <c r="F139" s="47"/>
      <c r="G139" s="47"/>
      <c r="H139" s="47"/>
      <c r="I139" s="47"/>
      <c r="J139" s="47"/>
      <c r="K139" s="54"/>
      <c r="L139" s="11"/>
      <c r="M139" s="11"/>
      <c r="N139" s="11"/>
      <c r="O139" s="404"/>
      <c r="P139" s="372"/>
      <c r="Q139" s="11"/>
      <c r="R139" s="11"/>
      <c r="S139" s="11"/>
      <c r="T139" s="11"/>
      <c r="U139" s="252"/>
      <c r="V139" s="252"/>
    </row>
    <row r="140" spans="1:22" s="53" customFormat="1">
      <c r="A140" s="48" t="s">
        <v>379</v>
      </c>
      <c r="B140" s="48"/>
      <c r="C140" s="186" t="s">
        <v>61</v>
      </c>
      <c r="D140" s="173" t="s">
        <v>27</v>
      </c>
      <c r="E140" s="47">
        <v>4</v>
      </c>
      <c r="F140" s="47"/>
      <c r="G140" s="47"/>
      <c r="H140" s="47"/>
      <c r="I140" s="47"/>
      <c r="J140" s="47"/>
      <c r="K140" s="54"/>
      <c r="L140" s="11"/>
      <c r="M140" s="11"/>
      <c r="N140" s="11"/>
      <c r="O140" s="404"/>
      <c r="P140" s="372"/>
      <c r="Q140" s="11"/>
      <c r="R140" s="11"/>
      <c r="S140" s="11"/>
      <c r="T140" s="11"/>
      <c r="U140" s="252"/>
      <c r="V140" s="252"/>
    </row>
    <row r="141" spans="1:22" s="53" customFormat="1">
      <c r="A141" s="48" t="s">
        <v>385</v>
      </c>
      <c r="B141" s="48"/>
      <c r="C141" s="186" t="s">
        <v>295</v>
      </c>
      <c r="D141" s="173" t="s">
        <v>27</v>
      </c>
      <c r="E141" s="47">
        <v>2</v>
      </c>
      <c r="F141" s="47"/>
      <c r="G141" s="47"/>
      <c r="H141" s="47"/>
      <c r="I141" s="47"/>
      <c r="J141" s="47"/>
      <c r="K141" s="54"/>
      <c r="L141" s="11"/>
      <c r="M141" s="11"/>
      <c r="N141" s="11"/>
      <c r="O141" s="404"/>
      <c r="P141" s="372"/>
      <c r="Q141" s="11"/>
      <c r="R141" s="11"/>
      <c r="S141" s="11"/>
      <c r="T141" s="11"/>
      <c r="U141" s="252"/>
      <c r="V141" s="252"/>
    </row>
    <row r="142" spans="1:22" s="53" customFormat="1">
      <c r="A142" s="48" t="s">
        <v>391</v>
      </c>
      <c r="B142" s="48"/>
      <c r="C142" s="186" t="s">
        <v>62</v>
      </c>
      <c r="D142" s="173" t="s">
        <v>27</v>
      </c>
      <c r="E142" s="47">
        <v>4</v>
      </c>
      <c r="F142" s="47"/>
      <c r="G142" s="47"/>
      <c r="H142" s="47"/>
      <c r="I142" s="47"/>
      <c r="J142" s="47"/>
      <c r="K142" s="54"/>
      <c r="L142" s="11"/>
      <c r="M142" s="11"/>
      <c r="N142" s="11"/>
      <c r="O142" s="404"/>
      <c r="P142" s="372"/>
      <c r="Q142" s="11"/>
      <c r="R142" s="11"/>
      <c r="S142" s="11"/>
      <c r="T142" s="11"/>
      <c r="U142" s="252"/>
      <c r="V142" s="252"/>
    </row>
    <row r="143" spans="1:22" s="53" customFormat="1">
      <c r="A143" s="48" t="s">
        <v>392</v>
      </c>
      <c r="B143" s="48"/>
      <c r="C143" s="191" t="s">
        <v>66</v>
      </c>
      <c r="D143" s="173" t="s">
        <v>27</v>
      </c>
      <c r="E143" s="47">
        <v>3</v>
      </c>
      <c r="F143" s="47"/>
      <c r="G143" s="47"/>
      <c r="H143" s="47"/>
      <c r="I143" s="47"/>
      <c r="J143" s="47"/>
      <c r="K143" s="54"/>
      <c r="L143" s="11"/>
      <c r="M143" s="11"/>
      <c r="N143" s="11"/>
      <c r="O143" s="404"/>
      <c r="P143" s="372"/>
      <c r="Q143" s="11"/>
      <c r="R143" s="11"/>
      <c r="S143" s="11"/>
      <c r="T143" s="11"/>
      <c r="U143" s="252"/>
      <c r="V143" s="252"/>
    </row>
    <row r="144" spans="1:22" s="53" customFormat="1">
      <c r="A144" s="48" t="s">
        <v>393</v>
      </c>
      <c r="B144" s="48"/>
      <c r="C144" s="191" t="s">
        <v>322</v>
      </c>
      <c r="D144" s="173" t="s">
        <v>27</v>
      </c>
      <c r="E144" s="47">
        <v>2</v>
      </c>
      <c r="F144" s="47"/>
      <c r="G144" s="47"/>
      <c r="H144" s="47"/>
      <c r="I144" s="47"/>
      <c r="J144" s="47"/>
      <c r="K144" s="54"/>
      <c r="L144" s="11"/>
      <c r="M144" s="11"/>
      <c r="N144" s="11"/>
      <c r="O144" s="404"/>
      <c r="P144" s="373"/>
      <c r="Q144" s="11"/>
      <c r="R144" s="11"/>
      <c r="S144" s="11"/>
      <c r="T144" s="11"/>
      <c r="U144" s="252"/>
      <c r="V144" s="252"/>
    </row>
    <row r="145" spans="1:22" s="53" customFormat="1">
      <c r="A145" s="48" t="s">
        <v>394</v>
      </c>
      <c r="B145" s="48"/>
      <c r="C145" s="191" t="s">
        <v>323</v>
      </c>
      <c r="D145" s="173" t="s">
        <v>27</v>
      </c>
      <c r="E145" s="47">
        <v>9</v>
      </c>
      <c r="F145" s="47"/>
      <c r="G145" s="47"/>
      <c r="H145" s="47"/>
      <c r="I145" s="47"/>
      <c r="J145" s="47"/>
      <c r="K145" s="54"/>
      <c r="L145" s="11"/>
      <c r="M145" s="11"/>
      <c r="N145" s="11"/>
      <c r="O145" s="404"/>
      <c r="P145" s="373"/>
      <c r="Q145" s="11"/>
      <c r="R145" s="11"/>
      <c r="S145" s="11"/>
      <c r="T145" s="11"/>
      <c r="U145" s="252"/>
      <c r="V145" s="252"/>
    </row>
    <row r="146" spans="1:22" s="53" customFormat="1">
      <c r="A146" s="48" t="s">
        <v>395</v>
      </c>
      <c r="B146" s="370" t="s">
        <v>863</v>
      </c>
      <c r="C146" s="191" t="s">
        <v>296</v>
      </c>
      <c r="D146" s="173" t="s">
        <v>27</v>
      </c>
      <c r="E146" s="47">
        <v>3</v>
      </c>
      <c r="F146" s="47"/>
      <c r="G146" s="47"/>
      <c r="H146" s="47"/>
      <c r="I146" s="47"/>
      <c r="J146" s="47"/>
      <c r="K146" s="54"/>
      <c r="L146" s="11"/>
      <c r="M146" s="11"/>
      <c r="N146" s="11"/>
      <c r="O146" s="401"/>
      <c r="P146" s="373"/>
      <c r="Q146" s="11"/>
      <c r="R146" s="11"/>
      <c r="S146" s="11"/>
      <c r="T146" s="11"/>
      <c r="U146" s="252"/>
      <c r="V146" s="252"/>
    </row>
    <row r="147" spans="1:22" s="53" customFormat="1">
      <c r="A147" s="48" t="s">
        <v>396</v>
      </c>
      <c r="B147" s="48"/>
      <c r="C147" s="186" t="s">
        <v>298</v>
      </c>
      <c r="D147" s="173" t="s">
        <v>27</v>
      </c>
      <c r="E147" s="47">
        <v>2</v>
      </c>
      <c r="F147" s="47"/>
      <c r="G147" s="47"/>
      <c r="H147" s="47"/>
      <c r="I147" s="47"/>
      <c r="J147" s="47"/>
      <c r="K147" s="54"/>
      <c r="L147" s="11"/>
      <c r="M147" s="11"/>
      <c r="N147" s="11"/>
      <c r="O147" s="404"/>
      <c r="P147" s="372"/>
      <c r="Q147" s="11"/>
      <c r="R147" s="11"/>
      <c r="S147" s="11"/>
      <c r="T147" s="11"/>
      <c r="U147" s="252"/>
      <c r="V147" s="252"/>
    </row>
    <row r="148" spans="1:22" s="53" customFormat="1">
      <c r="A148" s="48" t="s">
        <v>397</v>
      </c>
      <c r="B148" s="48"/>
      <c r="C148" s="186" t="s">
        <v>299</v>
      </c>
      <c r="D148" s="173" t="s">
        <v>27</v>
      </c>
      <c r="E148" s="47">
        <v>1</v>
      </c>
      <c r="F148" s="47"/>
      <c r="G148" s="47"/>
      <c r="H148" s="47"/>
      <c r="I148" s="47"/>
      <c r="J148" s="47"/>
      <c r="K148" s="54"/>
      <c r="L148" s="11"/>
      <c r="M148" s="11"/>
      <c r="N148" s="11"/>
      <c r="O148" s="404"/>
      <c r="P148" s="372"/>
      <c r="Q148" s="11"/>
      <c r="R148" s="11"/>
      <c r="S148" s="11"/>
      <c r="T148" s="11"/>
      <c r="U148" s="252"/>
      <c r="V148" s="252"/>
    </row>
    <row r="149" spans="1:22" s="53" customFormat="1">
      <c r="A149" s="48" t="s">
        <v>398</v>
      </c>
      <c r="B149" s="48"/>
      <c r="C149" s="186" t="s">
        <v>63</v>
      </c>
      <c r="D149" s="173" t="s">
        <v>27</v>
      </c>
      <c r="E149" s="47">
        <v>3</v>
      </c>
      <c r="F149" s="47"/>
      <c r="G149" s="47"/>
      <c r="H149" s="47"/>
      <c r="I149" s="47"/>
      <c r="J149" s="47"/>
      <c r="K149" s="54"/>
      <c r="L149" s="11"/>
      <c r="M149" s="11"/>
      <c r="N149" s="11"/>
      <c r="O149" s="404"/>
      <c r="P149" s="372"/>
      <c r="Q149" s="11"/>
      <c r="R149" s="11"/>
      <c r="S149" s="11"/>
      <c r="T149" s="11"/>
      <c r="U149" s="252"/>
      <c r="V149" s="252"/>
    </row>
    <row r="150" spans="1:22" s="53" customFormat="1">
      <c r="A150" s="48" t="s">
        <v>399</v>
      </c>
      <c r="B150" s="48"/>
      <c r="C150" s="186" t="s">
        <v>301</v>
      </c>
      <c r="D150" s="173" t="s">
        <v>27</v>
      </c>
      <c r="E150" s="47">
        <v>1</v>
      </c>
      <c r="F150" s="47"/>
      <c r="G150" s="47"/>
      <c r="H150" s="47"/>
      <c r="I150" s="47"/>
      <c r="J150" s="47"/>
      <c r="K150" s="54"/>
      <c r="L150" s="11"/>
      <c r="M150" s="11"/>
      <c r="N150" s="11"/>
      <c r="O150" s="404"/>
      <c r="P150" s="372"/>
      <c r="Q150" s="11"/>
      <c r="R150" s="11"/>
      <c r="S150" s="11"/>
      <c r="T150" s="11"/>
      <c r="U150" s="252"/>
      <c r="V150" s="252"/>
    </row>
    <row r="151" spans="1:22" s="53" customFormat="1">
      <c r="A151" s="48" t="s">
        <v>412</v>
      </c>
      <c r="B151" s="48"/>
      <c r="C151" s="186" t="s">
        <v>332</v>
      </c>
      <c r="D151" s="173" t="s">
        <v>27</v>
      </c>
      <c r="E151" s="47">
        <f>6-1</f>
        <v>5</v>
      </c>
      <c r="F151" s="47"/>
      <c r="G151" s="47"/>
      <c r="H151" s="47"/>
      <c r="I151" s="47"/>
      <c r="J151" s="47"/>
      <c r="K151" s="54"/>
      <c r="L151" s="11"/>
      <c r="M151" s="11"/>
      <c r="N151" s="11"/>
      <c r="O151" s="404"/>
      <c r="P151" s="372"/>
      <c r="Q151" s="11"/>
      <c r="R151" s="11"/>
      <c r="S151" s="11"/>
      <c r="T151" s="11"/>
      <c r="U151" s="252"/>
      <c r="V151" s="252"/>
    </row>
    <row r="152" spans="1:22" s="53" customFormat="1">
      <c r="A152" s="48" t="s">
        <v>413</v>
      </c>
      <c r="B152" s="48"/>
      <c r="C152" s="186" t="s">
        <v>302</v>
      </c>
      <c r="D152" s="173" t="s">
        <v>27</v>
      </c>
      <c r="E152" s="47">
        <v>1</v>
      </c>
      <c r="F152" s="47"/>
      <c r="G152" s="47"/>
      <c r="H152" s="47"/>
      <c r="I152" s="47"/>
      <c r="J152" s="47"/>
      <c r="K152" s="54"/>
      <c r="L152" s="11"/>
      <c r="M152" s="11"/>
      <c r="N152" s="11"/>
      <c r="O152" s="404"/>
      <c r="P152" s="372"/>
      <c r="Q152" s="11"/>
      <c r="R152" s="293"/>
      <c r="S152" s="293"/>
      <c r="T152" s="293"/>
      <c r="U152" s="405"/>
      <c r="V152" s="405"/>
    </row>
    <row r="153" spans="1:22" s="53" customFormat="1">
      <c r="A153" s="48" t="s">
        <v>414</v>
      </c>
      <c r="B153" s="48"/>
      <c r="C153" s="186" t="s">
        <v>600</v>
      </c>
      <c r="D153" s="173" t="s">
        <v>27</v>
      </c>
      <c r="E153" s="47">
        <v>1</v>
      </c>
      <c r="F153" s="47"/>
      <c r="G153" s="47"/>
      <c r="H153" s="47"/>
      <c r="I153" s="47"/>
      <c r="J153" s="47"/>
      <c r="K153" s="54"/>
      <c r="L153" s="11"/>
      <c r="M153" s="11"/>
      <c r="N153" s="11"/>
      <c r="O153" s="404"/>
      <c r="P153" s="372"/>
      <c r="Q153" s="11"/>
      <c r="R153" s="293"/>
      <c r="S153" s="293"/>
      <c r="T153" s="293"/>
      <c r="U153" s="405"/>
      <c r="V153" s="405"/>
    </row>
    <row r="154" spans="1:22" s="53" customFormat="1" ht="24.75">
      <c r="A154" s="48" t="s">
        <v>415</v>
      </c>
      <c r="B154" s="48"/>
      <c r="C154" s="191" t="s">
        <v>643</v>
      </c>
      <c r="D154" s="173" t="s">
        <v>27</v>
      </c>
      <c r="E154" s="47">
        <v>1</v>
      </c>
      <c r="F154" s="47"/>
      <c r="G154" s="47"/>
      <c r="H154" s="47"/>
      <c r="I154" s="47"/>
      <c r="J154" s="47"/>
      <c r="K154" s="54"/>
      <c r="L154" s="11"/>
      <c r="M154" s="11"/>
      <c r="N154" s="11"/>
      <c r="O154" s="404"/>
      <c r="P154" s="372"/>
      <c r="Q154" s="11"/>
      <c r="R154" s="293"/>
      <c r="S154" s="293"/>
      <c r="T154" s="293"/>
      <c r="U154" s="405"/>
      <c r="V154" s="405"/>
    </row>
    <row r="155" spans="1:22" s="53" customFormat="1">
      <c r="A155" s="48" t="s">
        <v>416</v>
      </c>
      <c r="B155" s="48"/>
      <c r="C155" s="186" t="s">
        <v>303</v>
      </c>
      <c r="D155" s="173" t="s">
        <v>27</v>
      </c>
      <c r="E155" s="47">
        <v>7</v>
      </c>
      <c r="F155" s="47"/>
      <c r="G155" s="47"/>
      <c r="H155" s="47"/>
      <c r="I155" s="47"/>
      <c r="J155" s="47"/>
      <c r="K155" s="54"/>
      <c r="L155" s="11"/>
      <c r="M155" s="11"/>
      <c r="N155" s="11"/>
      <c r="O155" s="404"/>
      <c r="P155" s="372"/>
      <c r="Q155" s="11"/>
      <c r="R155" s="11"/>
      <c r="S155" s="11"/>
      <c r="T155" s="11"/>
      <c r="U155" s="252"/>
      <c r="V155" s="252"/>
    </row>
    <row r="156" spans="1:22" s="53" customFormat="1">
      <c r="A156" s="48" t="s">
        <v>417</v>
      </c>
      <c r="B156" s="48"/>
      <c r="C156" s="186" t="s">
        <v>64</v>
      </c>
      <c r="D156" s="173" t="s">
        <v>27</v>
      </c>
      <c r="E156" s="47">
        <v>9</v>
      </c>
      <c r="F156" s="47"/>
      <c r="G156" s="47"/>
      <c r="H156" s="47"/>
      <c r="I156" s="47"/>
      <c r="J156" s="47"/>
      <c r="K156" s="54"/>
      <c r="L156" s="11"/>
      <c r="M156" s="11"/>
      <c r="N156" s="11"/>
      <c r="O156" s="404"/>
      <c r="P156" s="372"/>
      <c r="Q156" s="11"/>
      <c r="R156" s="11"/>
      <c r="S156" s="11"/>
      <c r="T156" s="11"/>
      <c r="U156" s="252"/>
      <c r="V156" s="252"/>
    </row>
    <row r="157" spans="1:22" s="53" customFormat="1">
      <c r="A157" s="48" t="s">
        <v>418</v>
      </c>
      <c r="B157" s="48"/>
      <c r="C157" s="186" t="s">
        <v>620</v>
      </c>
      <c r="D157" s="173" t="s">
        <v>27</v>
      </c>
      <c r="E157" s="47">
        <f>12-1</f>
        <v>11</v>
      </c>
      <c r="F157" s="47"/>
      <c r="G157" s="47"/>
      <c r="H157" s="47"/>
      <c r="I157" s="47"/>
      <c r="J157" s="47"/>
      <c r="K157" s="54"/>
      <c r="L157" s="11"/>
      <c r="M157" s="11"/>
      <c r="N157" s="11"/>
      <c r="O157" s="402"/>
      <c r="P157" s="383"/>
      <c r="Q157" s="11"/>
      <c r="R157" s="11"/>
      <c r="S157" s="11"/>
      <c r="T157" s="11"/>
      <c r="U157" s="252"/>
      <c r="V157" s="252"/>
    </row>
    <row r="158" spans="1:22" s="53" customFormat="1">
      <c r="A158" s="48" t="s">
        <v>419</v>
      </c>
      <c r="B158" s="48"/>
      <c r="C158" s="186" t="s">
        <v>65</v>
      </c>
      <c r="D158" s="173" t="s">
        <v>27</v>
      </c>
      <c r="E158" s="47">
        <v>2</v>
      </c>
      <c r="F158" s="47"/>
      <c r="G158" s="47"/>
      <c r="H158" s="47"/>
      <c r="I158" s="47"/>
      <c r="J158" s="47"/>
      <c r="K158" s="54"/>
      <c r="L158" s="11"/>
      <c r="M158" s="11"/>
      <c r="N158" s="11"/>
      <c r="O158" s="404"/>
      <c r="P158" s="372"/>
      <c r="Q158" s="11"/>
      <c r="R158" s="11"/>
      <c r="S158" s="11"/>
      <c r="T158" s="11"/>
      <c r="U158" s="252"/>
      <c r="V158" s="252"/>
    </row>
    <row r="159" spans="1:22" s="53" customFormat="1">
      <c r="A159" s="48" t="s">
        <v>420</v>
      </c>
      <c r="B159" s="48"/>
      <c r="C159" s="186" t="s">
        <v>636</v>
      </c>
      <c r="D159" s="173" t="s">
        <v>27</v>
      </c>
      <c r="E159" s="47">
        <v>3</v>
      </c>
      <c r="F159" s="47"/>
      <c r="G159" s="47"/>
      <c r="H159" s="47"/>
      <c r="I159" s="47"/>
      <c r="J159" s="47"/>
      <c r="K159" s="54"/>
      <c r="L159" s="11"/>
      <c r="M159" s="11"/>
      <c r="N159" s="11"/>
      <c r="O159" s="404"/>
      <c r="P159" s="372"/>
      <c r="Q159" s="11"/>
      <c r="R159" s="11"/>
      <c r="S159" s="11"/>
      <c r="T159" s="11"/>
      <c r="U159" s="252"/>
      <c r="V159" s="252"/>
    </row>
    <row r="160" spans="1:22" s="53" customFormat="1">
      <c r="A160" s="48" t="s">
        <v>606</v>
      </c>
      <c r="B160" s="48"/>
      <c r="C160" s="186" t="s">
        <v>625</v>
      </c>
      <c r="D160" s="173" t="s">
        <v>27</v>
      </c>
      <c r="E160" s="47">
        <v>2</v>
      </c>
      <c r="F160" s="47"/>
      <c r="G160" s="47"/>
      <c r="H160" s="47"/>
      <c r="I160" s="47"/>
      <c r="J160" s="47"/>
      <c r="K160" s="54"/>
      <c r="L160" s="11"/>
      <c r="M160" s="11"/>
      <c r="N160" s="11"/>
      <c r="O160" s="404"/>
      <c r="P160" s="372"/>
      <c r="Q160" s="11"/>
      <c r="R160" s="11"/>
      <c r="S160" s="11"/>
      <c r="T160" s="11"/>
      <c r="U160" s="252"/>
      <c r="V160" s="252"/>
    </row>
    <row r="161" spans="1:22" s="53" customFormat="1">
      <c r="A161" s="48" t="s">
        <v>607</v>
      </c>
      <c r="B161" s="48"/>
      <c r="C161" s="186" t="s">
        <v>626</v>
      </c>
      <c r="D161" s="173" t="s">
        <v>27</v>
      </c>
      <c r="E161" s="47">
        <v>10</v>
      </c>
      <c r="F161" s="47"/>
      <c r="G161" s="47"/>
      <c r="H161" s="47"/>
      <c r="I161" s="47"/>
      <c r="J161" s="47"/>
      <c r="K161" s="54"/>
      <c r="L161" s="11"/>
      <c r="M161" s="11"/>
      <c r="N161" s="11"/>
      <c r="O161" s="404"/>
      <c r="P161" s="372"/>
      <c r="Q161" s="11"/>
      <c r="R161" s="73"/>
      <c r="S161" s="73"/>
      <c r="T161" s="73"/>
      <c r="U161" s="73"/>
      <c r="V161" s="73"/>
    </row>
    <row r="162" spans="1:22" s="53" customFormat="1">
      <c r="A162" s="48" t="s">
        <v>608</v>
      </c>
      <c r="B162" s="48"/>
      <c r="C162" s="186" t="s">
        <v>627</v>
      </c>
      <c r="D162" s="173" t="s">
        <v>27</v>
      </c>
      <c r="E162" s="47">
        <v>10</v>
      </c>
      <c r="F162" s="47"/>
      <c r="G162" s="47"/>
      <c r="H162" s="47"/>
      <c r="I162" s="47"/>
      <c r="J162" s="47"/>
      <c r="K162" s="54"/>
      <c r="L162" s="11"/>
      <c r="M162" s="11"/>
      <c r="N162" s="11"/>
      <c r="O162" s="402"/>
      <c r="P162" s="383"/>
      <c r="Q162" s="11"/>
      <c r="R162" s="121"/>
      <c r="S162" s="121"/>
      <c r="T162" s="121"/>
      <c r="U162" s="121"/>
      <c r="V162" s="121"/>
    </row>
    <row r="163" spans="1:22" s="53" customFormat="1">
      <c r="A163" s="48" t="s">
        <v>609</v>
      </c>
      <c r="B163" s="48"/>
      <c r="C163" s="186" t="s">
        <v>637</v>
      </c>
      <c r="D163" s="173" t="s">
        <v>27</v>
      </c>
      <c r="E163" s="47">
        <v>2</v>
      </c>
      <c r="F163" s="47"/>
      <c r="G163" s="47"/>
      <c r="H163" s="47"/>
      <c r="I163" s="47"/>
      <c r="J163" s="47"/>
      <c r="K163" s="54"/>
      <c r="L163" s="11"/>
      <c r="M163" s="11"/>
      <c r="N163" s="11"/>
      <c r="O163" s="11"/>
      <c r="P163" s="11"/>
      <c r="Q163" s="11"/>
      <c r="R163" s="73"/>
      <c r="S163" s="73"/>
      <c r="T163" s="73"/>
      <c r="U163" s="73"/>
      <c r="V163" s="73"/>
    </row>
    <row r="164" spans="1:22" s="53" customFormat="1">
      <c r="A164" s="48" t="s">
        <v>610</v>
      </c>
      <c r="B164" s="380" t="s">
        <v>836</v>
      </c>
      <c r="C164" s="381" t="s">
        <v>864</v>
      </c>
      <c r="D164" s="213" t="s">
        <v>28</v>
      </c>
      <c r="E164" s="54">
        <v>25.05</v>
      </c>
      <c r="F164" s="47"/>
      <c r="G164" s="47"/>
      <c r="H164" s="47"/>
      <c r="I164" s="47"/>
      <c r="J164" s="47"/>
      <c r="K164" s="54"/>
      <c r="L164" s="11"/>
      <c r="M164" s="11"/>
      <c r="N164" s="11"/>
      <c r="O164" s="11"/>
      <c r="P164" s="11"/>
      <c r="Q164" s="11"/>
      <c r="R164" s="11"/>
      <c r="S164" s="11"/>
      <c r="T164" s="11"/>
      <c r="U164" s="252"/>
      <c r="V164" s="252"/>
    </row>
    <row r="165" spans="1:22">
      <c r="A165" s="479" t="s">
        <v>139</v>
      </c>
      <c r="B165" s="480"/>
      <c r="C165" s="480"/>
      <c r="D165" s="480"/>
      <c r="E165" s="480"/>
      <c r="F165" s="480"/>
      <c r="G165" s="480"/>
      <c r="H165" s="480"/>
      <c r="I165" s="481"/>
      <c r="J165" s="23"/>
      <c r="K165" s="39"/>
      <c r="L165" s="11"/>
      <c r="M165" s="11"/>
      <c r="N165" s="11"/>
      <c r="O165" s="11"/>
      <c r="P165" s="11"/>
      <c r="Q165" s="11"/>
      <c r="R165" s="11"/>
      <c r="S165" s="11"/>
      <c r="T165" s="11"/>
    </row>
    <row r="166" spans="1:22" s="74" customFormat="1">
      <c r="A166" s="70" t="s">
        <v>113</v>
      </c>
      <c r="B166" s="477" t="s">
        <v>114</v>
      </c>
      <c r="C166" s="478"/>
      <c r="D166" s="478"/>
      <c r="E166" s="478"/>
      <c r="F166" s="478"/>
      <c r="G166" s="478"/>
      <c r="H166" s="478"/>
      <c r="I166" s="478"/>
      <c r="J166" s="478"/>
      <c r="K166" s="478"/>
      <c r="L166" s="78"/>
      <c r="M166" s="73"/>
      <c r="N166" s="73"/>
      <c r="O166" s="73"/>
      <c r="P166" s="73"/>
      <c r="Q166" s="73"/>
      <c r="R166" s="73"/>
      <c r="S166" s="73"/>
      <c r="T166" s="73"/>
      <c r="U166" s="73"/>
      <c r="V166" s="73"/>
    </row>
    <row r="167" spans="1:22" s="154" customFormat="1" ht="14.25">
      <c r="A167" s="124" t="s">
        <v>115</v>
      </c>
      <c r="B167" s="180">
        <v>72075</v>
      </c>
      <c r="C167" s="183" t="s">
        <v>342</v>
      </c>
      <c r="D167" s="182" t="s">
        <v>29</v>
      </c>
      <c r="E167" s="117">
        <f>E179+E182+E184</f>
        <v>223.88300000000004</v>
      </c>
      <c r="F167" s="183"/>
      <c r="G167" s="47"/>
      <c r="H167" s="183"/>
      <c r="I167" s="47"/>
      <c r="J167" s="47"/>
      <c r="K167" s="47"/>
      <c r="L167" s="120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</row>
    <row r="168" spans="1:22" s="74" customFormat="1">
      <c r="A168" s="462" t="s">
        <v>117</v>
      </c>
      <c r="B168" s="463"/>
      <c r="C168" s="463"/>
      <c r="D168" s="463"/>
      <c r="E168" s="463"/>
      <c r="F168" s="463"/>
      <c r="G168" s="463"/>
      <c r="H168" s="463"/>
      <c r="I168" s="464"/>
      <c r="J168" s="23"/>
      <c r="K168" s="23"/>
      <c r="L168" s="79"/>
      <c r="M168" s="73"/>
      <c r="N168" s="73"/>
      <c r="O168" s="73"/>
      <c r="P168" s="73"/>
      <c r="Q168" s="73"/>
      <c r="R168" s="73"/>
      <c r="S168" s="73"/>
      <c r="T168" s="73"/>
      <c r="U168" s="73"/>
      <c r="V168" s="73"/>
    </row>
    <row r="169" spans="1:22">
      <c r="A169" s="60" t="s">
        <v>140</v>
      </c>
      <c r="B169" s="458" t="s">
        <v>118</v>
      </c>
      <c r="C169" s="459"/>
      <c r="D169" s="459"/>
      <c r="E169" s="459"/>
      <c r="F169" s="459"/>
      <c r="G169" s="459"/>
      <c r="H169" s="459"/>
      <c r="I169" s="459"/>
      <c r="J169" s="459"/>
      <c r="K169" s="473"/>
      <c r="L169" s="11"/>
      <c r="M169" s="11"/>
      <c r="N169" s="11"/>
      <c r="O169" s="11"/>
      <c r="P169" s="11"/>
      <c r="Q169" s="11"/>
      <c r="R169" s="11"/>
      <c r="S169" s="11"/>
      <c r="T169" s="11"/>
    </row>
    <row r="170" spans="1:22" s="53" customFormat="1">
      <c r="A170" s="96" t="s">
        <v>380</v>
      </c>
      <c r="B170" s="96"/>
      <c r="C170" s="97" t="s">
        <v>304</v>
      </c>
      <c r="D170" s="92" t="s">
        <v>27</v>
      </c>
      <c r="E170" s="95">
        <v>2</v>
      </c>
      <c r="F170" s="95"/>
      <c r="G170" s="186"/>
      <c r="H170" s="186"/>
      <c r="I170" s="186"/>
      <c r="J170" s="186"/>
      <c r="K170" s="47"/>
      <c r="L170" s="11"/>
      <c r="M170" s="11"/>
      <c r="N170" s="11"/>
      <c r="O170" s="11"/>
      <c r="P170" s="11"/>
      <c r="Q170" s="11"/>
      <c r="R170" s="11"/>
      <c r="S170" s="11"/>
      <c r="T170" s="11"/>
    </row>
    <row r="171" spans="1:22" s="53" customFormat="1">
      <c r="A171" s="96" t="s">
        <v>381</v>
      </c>
      <c r="B171" s="96"/>
      <c r="C171" s="97" t="s">
        <v>305</v>
      </c>
      <c r="D171" s="92" t="s">
        <v>27</v>
      </c>
      <c r="E171" s="95">
        <v>2</v>
      </c>
      <c r="F171" s="95"/>
      <c r="G171" s="186"/>
      <c r="H171" s="186"/>
      <c r="I171" s="186"/>
      <c r="J171" s="186"/>
      <c r="K171" s="47"/>
      <c r="L171" s="11"/>
      <c r="M171" s="11"/>
      <c r="N171" s="11"/>
      <c r="O171" s="11"/>
      <c r="P171" s="11"/>
      <c r="Q171" s="11"/>
      <c r="R171" s="11"/>
      <c r="S171" s="11"/>
      <c r="T171" s="11"/>
    </row>
    <row r="172" spans="1:22" s="53" customFormat="1" ht="15.75" customHeight="1">
      <c r="A172" s="96" t="s">
        <v>384</v>
      </c>
      <c r="B172" s="96"/>
      <c r="C172" s="210" t="s">
        <v>310</v>
      </c>
      <c r="D172" s="92" t="s">
        <v>27</v>
      </c>
      <c r="E172" s="47">
        <v>5</v>
      </c>
      <c r="F172" s="47"/>
      <c r="G172" s="186"/>
      <c r="H172" s="47"/>
      <c r="I172" s="186"/>
      <c r="J172" s="186"/>
      <c r="K172" s="47"/>
      <c r="L172" s="11"/>
      <c r="M172" s="11"/>
      <c r="N172" s="11"/>
      <c r="O172" s="11"/>
      <c r="P172" s="11"/>
      <c r="Q172" s="11"/>
      <c r="R172" s="11"/>
      <c r="S172" s="11"/>
      <c r="T172" s="11"/>
    </row>
    <row r="173" spans="1:22">
      <c r="A173" s="479" t="s">
        <v>141</v>
      </c>
      <c r="B173" s="480"/>
      <c r="C173" s="480"/>
      <c r="D173" s="480"/>
      <c r="E173" s="480"/>
      <c r="F173" s="480"/>
      <c r="G173" s="480"/>
      <c r="H173" s="480"/>
      <c r="I173" s="481"/>
      <c r="J173" s="23"/>
      <c r="K173" s="39"/>
    </row>
    <row r="174" spans="1:22">
      <c r="A174" s="60" t="s">
        <v>142</v>
      </c>
      <c r="B174" s="458" t="s">
        <v>7</v>
      </c>
      <c r="C174" s="459"/>
      <c r="D174" s="459"/>
      <c r="E174" s="459"/>
      <c r="F174" s="459"/>
      <c r="G174" s="459"/>
      <c r="H174" s="459"/>
      <c r="I174" s="459"/>
      <c r="J174" s="459"/>
      <c r="K174" s="473"/>
      <c r="L174" s="11"/>
      <c r="M174" s="11"/>
      <c r="N174" s="11"/>
      <c r="O174" s="11"/>
      <c r="P174" s="11"/>
      <c r="Q174" s="11"/>
      <c r="R174" s="11"/>
      <c r="S174" s="11"/>
      <c r="T174" s="11"/>
    </row>
    <row r="175" spans="1:22" s="53" customFormat="1" ht="24.75">
      <c r="A175" s="48" t="s">
        <v>143</v>
      </c>
      <c r="B175" s="197">
        <v>5974</v>
      </c>
      <c r="C175" s="58" t="s">
        <v>209</v>
      </c>
      <c r="D175" s="50" t="s">
        <v>29</v>
      </c>
      <c r="E175" s="47">
        <f>(E52+E53)*2</f>
        <v>942.72050000000013</v>
      </c>
      <c r="F175" s="47"/>
      <c r="G175" s="47"/>
      <c r="H175" s="47"/>
      <c r="I175" s="47"/>
      <c r="J175" s="47"/>
      <c r="K175" s="47"/>
      <c r="L175" s="11"/>
      <c r="M175" s="11"/>
      <c r="N175" s="11"/>
      <c r="O175" s="11"/>
      <c r="P175" s="11"/>
      <c r="Q175" s="11"/>
      <c r="R175" s="11"/>
      <c r="S175" s="11"/>
      <c r="T175" s="11"/>
    </row>
    <row r="176" spans="1:22" s="53" customFormat="1" ht="24.75">
      <c r="A176" s="48" t="s">
        <v>144</v>
      </c>
      <c r="B176" s="197">
        <v>5975</v>
      </c>
      <c r="C176" s="58" t="s">
        <v>210</v>
      </c>
      <c r="D176" s="50" t="s">
        <v>29</v>
      </c>
      <c r="E176" s="47">
        <f>E13</f>
        <v>168.36</v>
      </c>
      <c r="F176" s="47"/>
      <c r="G176" s="47"/>
      <c r="H176" s="47"/>
      <c r="I176" s="47"/>
      <c r="J176" s="47"/>
      <c r="K176" s="47"/>
      <c r="L176" s="11"/>
      <c r="M176" s="11"/>
      <c r="N176" s="11"/>
      <c r="O176" s="11"/>
      <c r="P176" s="11"/>
      <c r="Q176" s="11"/>
      <c r="R176" s="11"/>
      <c r="S176" s="11"/>
      <c r="T176" s="11"/>
    </row>
    <row r="177" spans="1:21" s="53" customFormat="1" ht="24.75">
      <c r="A177" s="48" t="s">
        <v>145</v>
      </c>
      <c r="B177" s="197">
        <v>5982</v>
      </c>
      <c r="C177" s="58" t="s">
        <v>211</v>
      </c>
      <c r="D177" s="50" t="s">
        <v>29</v>
      </c>
      <c r="E177" s="47">
        <f>E176</f>
        <v>168.36</v>
      </c>
      <c r="F177" s="47"/>
      <c r="G177" s="47"/>
      <c r="H177" s="47"/>
      <c r="I177" s="47"/>
      <c r="J177" s="47"/>
      <c r="K177" s="47"/>
      <c r="L177" s="11"/>
      <c r="M177" s="11"/>
      <c r="N177" s="11"/>
      <c r="O177" s="11"/>
      <c r="P177" s="11"/>
      <c r="Q177" s="11"/>
      <c r="R177" s="11"/>
      <c r="S177" s="11"/>
      <c r="T177" s="11"/>
    </row>
    <row r="178" spans="1:21" s="53" customFormat="1" ht="24.75">
      <c r="A178" s="48" t="s">
        <v>146</v>
      </c>
      <c r="B178" s="197">
        <v>5992</v>
      </c>
      <c r="C178" s="58" t="s">
        <v>212</v>
      </c>
      <c r="D178" s="50" t="s">
        <v>29</v>
      </c>
      <c r="E178" s="47">
        <f>E175</f>
        <v>942.72050000000013</v>
      </c>
      <c r="F178" s="47"/>
      <c r="G178" s="47"/>
      <c r="H178" s="47"/>
      <c r="I178" s="47"/>
      <c r="J178" s="47"/>
      <c r="K178" s="47"/>
      <c r="L178" s="11"/>
      <c r="M178" s="11"/>
      <c r="N178" s="11"/>
      <c r="O178" s="11"/>
      <c r="P178" s="11"/>
      <c r="Q178" s="11"/>
      <c r="R178" s="11"/>
      <c r="S178" s="11"/>
      <c r="T178" s="11"/>
    </row>
    <row r="179" spans="1:21" s="53" customFormat="1" ht="24.75">
      <c r="A179" s="48" t="s">
        <v>149</v>
      </c>
      <c r="B179" s="197" t="s">
        <v>213</v>
      </c>
      <c r="C179" s="58" t="s">
        <v>214</v>
      </c>
      <c r="D179" s="50" t="s">
        <v>29</v>
      </c>
      <c r="E179" s="47">
        <f>(2.85*(6.4+11.6+11.6+10.6))*1.1</f>
        <v>126.02700000000002</v>
      </c>
      <c r="F179" s="47"/>
      <c r="G179" s="47"/>
      <c r="H179" s="47"/>
      <c r="I179" s="47"/>
      <c r="J179" s="47"/>
      <c r="K179" s="47"/>
      <c r="L179" s="11"/>
      <c r="M179" s="11"/>
      <c r="N179" s="11"/>
      <c r="O179" s="11"/>
      <c r="P179" s="11"/>
      <c r="Q179" s="11"/>
      <c r="R179" s="11"/>
      <c r="S179" s="11"/>
      <c r="T179" s="11"/>
    </row>
    <row r="180" spans="1:21" s="53" customFormat="1" ht="15" customHeight="1">
      <c r="A180" s="48" t="s">
        <v>150</v>
      </c>
      <c r="B180" s="180">
        <v>9536</v>
      </c>
      <c r="C180" s="167" t="s">
        <v>507</v>
      </c>
      <c r="D180" s="165" t="s">
        <v>29</v>
      </c>
      <c r="E180" s="289">
        <f>2*12.54</f>
        <v>25.08</v>
      </c>
      <c r="F180" s="117"/>
      <c r="G180" s="117"/>
      <c r="H180" s="117"/>
      <c r="I180" s="117"/>
      <c r="J180" s="117"/>
      <c r="K180" s="47"/>
      <c r="L180" s="11"/>
      <c r="M180" s="11"/>
      <c r="N180" s="11"/>
      <c r="O180" s="11"/>
      <c r="P180" s="11"/>
      <c r="Q180" s="11"/>
      <c r="R180" s="11"/>
      <c r="S180" s="11"/>
      <c r="T180" s="11"/>
    </row>
    <row r="181" spans="1:21" s="53" customFormat="1" ht="15" customHeight="1">
      <c r="A181" s="48" t="s">
        <v>382</v>
      </c>
      <c r="B181" s="197" t="s">
        <v>840</v>
      </c>
      <c r="C181" s="58" t="s">
        <v>841</v>
      </c>
      <c r="D181" s="50" t="s">
        <v>29</v>
      </c>
      <c r="E181" s="220">
        <v>146.47999999999999</v>
      </c>
      <c r="F181" s="117"/>
      <c r="G181" s="117"/>
      <c r="H181" s="117"/>
      <c r="I181" s="117"/>
      <c r="J181" s="117"/>
      <c r="K181" s="47"/>
      <c r="L181" s="11"/>
      <c r="M181" s="11"/>
      <c r="N181" s="11"/>
      <c r="O181" s="11"/>
      <c r="P181" s="11"/>
      <c r="Q181" s="11"/>
      <c r="R181" s="11"/>
      <c r="S181" s="11"/>
      <c r="T181" s="11"/>
    </row>
    <row r="182" spans="1:21" s="53" customFormat="1" ht="24.95" customHeight="1">
      <c r="A182" s="48" t="s">
        <v>383</v>
      </c>
      <c r="B182" s="197" t="s">
        <v>215</v>
      </c>
      <c r="C182" s="181" t="s">
        <v>216</v>
      </c>
      <c r="D182" s="50" t="s">
        <v>29</v>
      </c>
      <c r="E182" s="47">
        <f>(2.55+8.29+8.29+3.52+7+3.08)*1.1</f>
        <v>36.003</v>
      </c>
      <c r="F182" s="47"/>
      <c r="G182" s="47"/>
      <c r="H182" s="47"/>
      <c r="I182" s="47"/>
      <c r="J182" s="47"/>
      <c r="K182" s="47"/>
      <c r="L182" s="11"/>
      <c r="M182" s="11"/>
      <c r="N182" s="11"/>
      <c r="O182" s="11"/>
      <c r="P182" s="11"/>
      <c r="Q182" s="11"/>
      <c r="R182" s="11"/>
      <c r="S182" s="11"/>
      <c r="T182" s="11"/>
    </row>
    <row r="183" spans="1:21" s="53" customFormat="1" ht="24.75">
      <c r="A183" s="48" t="s">
        <v>388</v>
      </c>
      <c r="B183" s="180" t="s">
        <v>502</v>
      </c>
      <c r="C183" s="235" t="s">
        <v>503</v>
      </c>
      <c r="D183" s="165" t="s">
        <v>29</v>
      </c>
      <c r="E183" s="117">
        <f>(17.9+24.1+12.03+6.38+11.55)*1.1</f>
        <v>79.15600000000002</v>
      </c>
      <c r="F183" s="117"/>
      <c r="G183" s="117"/>
      <c r="H183" s="117"/>
      <c r="I183" s="117"/>
      <c r="J183" s="117"/>
      <c r="K183" s="47"/>
      <c r="L183" s="11"/>
      <c r="M183" s="11"/>
      <c r="N183" s="11"/>
      <c r="O183" s="11"/>
      <c r="P183" s="11"/>
      <c r="Q183" s="11"/>
      <c r="R183" s="11"/>
      <c r="S183" s="11"/>
      <c r="T183" s="11"/>
    </row>
    <row r="184" spans="1:21" s="53" customFormat="1" ht="15" customHeight="1">
      <c r="A184" s="48" t="s">
        <v>475</v>
      </c>
      <c r="B184" s="180">
        <v>72185</v>
      </c>
      <c r="C184" s="236" t="s">
        <v>539</v>
      </c>
      <c r="D184" s="165" t="s">
        <v>29</v>
      </c>
      <c r="E184" s="117">
        <f>((13.37+4.44+4.44+8.14+9.1)+(0.3*(12.1+14.8+11.8+8.55+8.55)))*1.1</f>
        <v>61.853000000000009</v>
      </c>
      <c r="F184" s="117"/>
      <c r="G184" s="117"/>
      <c r="H184" s="117"/>
      <c r="I184" s="117"/>
      <c r="J184" s="117"/>
      <c r="K184" s="47"/>
      <c r="L184" s="11"/>
      <c r="M184" s="11"/>
      <c r="N184" s="11"/>
      <c r="O184" s="11"/>
      <c r="P184" s="11"/>
      <c r="Q184" s="11"/>
      <c r="R184" s="11"/>
      <c r="S184" s="11"/>
      <c r="T184" s="11"/>
    </row>
    <row r="185" spans="1:21" s="53" customFormat="1">
      <c r="A185" s="48" t="s">
        <v>504</v>
      </c>
      <c r="B185" s="197" t="s">
        <v>217</v>
      </c>
      <c r="C185" s="193" t="s">
        <v>218</v>
      </c>
      <c r="D185" s="50" t="s">
        <v>28</v>
      </c>
      <c r="E185" s="47">
        <f>((0.5*5)+(2.5*1)+(2.8*2)+(1.2*5)+(1.2+1.2+1.2+1.2+0.6))*1.1</f>
        <v>24.200000000000003</v>
      </c>
      <c r="F185" s="47"/>
      <c r="G185" s="47"/>
      <c r="H185" s="47"/>
      <c r="I185" s="47"/>
      <c r="J185" s="47"/>
      <c r="K185" s="47"/>
      <c r="L185" s="11"/>
      <c r="M185" s="11"/>
      <c r="N185" s="11"/>
      <c r="O185" s="11"/>
      <c r="P185" s="11"/>
      <c r="Q185" s="11"/>
      <c r="R185" s="11"/>
      <c r="S185" s="11"/>
      <c r="T185" s="11"/>
    </row>
    <row r="186" spans="1:21" s="53" customFormat="1">
      <c r="A186" s="48" t="s">
        <v>505</v>
      </c>
      <c r="B186" s="197" t="s">
        <v>219</v>
      </c>
      <c r="C186" s="194" t="s">
        <v>220</v>
      </c>
      <c r="D186" s="50" t="s">
        <v>28</v>
      </c>
      <c r="E186" s="47">
        <f>((0.8*6)+(1.8*1)+(0.7*2)+(1*2)+(0.8*1)+(1.4*4)+0.8+0.8)*1.1</f>
        <v>19.8</v>
      </c>
      <c r="F186" s="47"/>
      <c r="G186" s="47"/>
      <c r="H186" s="47"/>
      <c r="I186" s="47"/>
      <c r="J186" s="47"/>
      <c r="K186" s="47"/>
      <c r="L186" s="11"/>
      <c r="M186" s="11"/>
      <c r="N186" s="11"/>
      <c r="O186" s="11"/>
      <c r="P186" s="11"/>
      <c r="Q186" s="11"/>
      <c r="R186" s="11"/>
      <c r="S186" s="11"/>
      <c r="T186" s="11"/>
    </row>
    <row r="187" spans="1:21" s="53" customFormat="1" ht="24">
      <c r="A187" s="48" t="s">
        <v>506</v>
      </c>
      <c r="B187" s="180" t="s">
        <v>518</v>
      </c>
      <c r="C187" s="238" t="s">
        <v>519</v>
      </c>
      <c r="D187" s="165" t="s">
        <v>28</v>
      </c>
      <c r="E187" s="289">
        <f>0.6+1.2+2.55+2.2+2.55+2.55+2.5+1.7+2.2+2.8+1.7-5.1</f>
        <v>17.449999999999996</v>
      </c>
      <c r="F187" s="117"/>
      <c r="G187" s="117"/>
      <c r="H187" s="117"/>
      <c r="I187" s="117"/>
      <c r="J187" s="117"/>
      <c r="K187" s="47"/>
      <c r="L187" s="11"/>
      <c r="M187" s="11"/>
      <c r="N187" s="11"/>
      <c r="O187" s="11"/>
      <c r="P187" s="11"/>
      <c r="Q187" s="11"/>
      <c r="R187" s="11"/>
      <c r="S187" s="11"/>
      <c r="T187" s="11"/>
    </row>
    <row r="188" spans="1:21" s="53" customFormat="1" ht="24.95" customHeight="1">
      <c r="A188" s="48" t="s">
        <v>517</v>
      </c>
      <c r="B188" s="197" t="s">
        <v>221</v>
      </c>
      <c r="C188" s="58" t="s">
        <v>222</v>
      </c>
      <c r="D188" s="50" t="s">
        <v>28</v>
      </c>
      <c r="E188" s="47">
        <f>(13.9+16.35+36.7+7.6+7.2+10.1+13.6+3.4+2.25+2.25+1.6)*1.1</f>
        <v>126.44499999999999</v>
      </c>
      <c r="F188" s="47"/>
      <c r="G188" s="47"/>
      <c r="H188" s="47"/>
      <c r="I188" s="47"/>
      <c r="J188" s="47"/>
      <c r="K188" s="47"/>
      <c r="L188" s="11"/>
      <c r="M188" s="11"/>
      <c r="N188" s="11"/>
      <c r="O188" s="11"/>
      <c r="P188" s="11"/>
      <c r="Q188" s="11"/>
      <c r="R188" s="11"/>
      <c r="S188" s="11"/>
      <c r="T188" s="11"/>
    </row>
    <row r="189" spans="1:21">
      <c r="A189" s="479" t="s">
        <v>151</v>
      </c>
      <c r="B189" s="480"/>
      <c r="C189" s="480"/>
      <c r="D189" s="480"/>
      <c r="E189" s="480"/>
      <c r="F189" s="480"/>
      <c r="G189" s="480"/>
      <c r="H189" s="480"/>
      <c r="I189" s="481"/>
      <c r="J189" s="22"/>
      <c r="K189" s="22"/>
      <c r="L189" s="77"/>
      <c r="M189" s="11"/>
      <c r="N189" s="11"/>
      <c r="O189" s="11"/>
      <c r="P189" s="11"/>
      <c r="Q189" s="11"/>
      <c r="R189" s="11"/>
      <c r="S189" s="11"/>
      <c r="T189" s="11"/>
    </row>
    <row r="190" spans="1:21" s="74" customFormat="1">
      <c r="A190" s="70" t="s">
        <v>132</v>
      </c>
      <c r="B190" s="448" t="s">
        <v>133</v>
      </c>
      <c r="C190" s="449"/>
      <c r="D190" s="449"/>
      <c r="E190" s="449"/>
      <c r="F190" s="449"/>
      <c r="G190" s="449"/>
      <c r="H190" s="449"/>
      <c r="I190" s="449"/>
      <c r="J190" s="449"/>
      <c r="K190" s="449"/>
      <c r="L190" s="78"/>
      <c r="M190" s="73"/>
      <c r="N190" s="73"/>
      <c r="O190" s="73"/>
      <c r="P190" s="73"/>
      <c r="Q190" s="73"/>
      <c r="R190" s="73"/>
      <c r="S190" s="73"/>
      <c r="T190" s="73"/>
      <c r="U190" s="73"/>
    </row>
    <row r="191" spans="1:21" s="81" customFormat="1">
      <c r="A191" s="80" t="s">
        <v>134</v>
      </c>
      <c r="B191" s="211">
        <v>72120</v>
      </c>
      <c r="C191" s="200" t="s">
        <v>224</v>
      </c>
      <c r="D191" s="92" t="s">
        <v>29</v>
      </c>
      <c r="E191" s="47">
        <f>E59+(0.6*0.9)</f>
        <v>3.06</v>
      </c>
      <c r="F191" s="47"/>
      <c r="G191" s="47"/>
      <c r="H191" s="47"/>
      <c r="I191" s="47"/>
      <c r="J191" s="47"/>
      <c r="K191" s="47"/>
      <c r="L191" s="78"/>
      <c r="M191" s="73"/>
      <c r="N191" s="73"/>
      <c r="O191" s="73"/>
      <c r="P191" s="73"/>
      <c r="Q191" s="73"/>
      <c r="R191" s="73"/>
      <c r="S191" s="73"/>
      <c r="T191" s="73"/>
      <c r="U191" s="73"/>
    </row>
    <row r="192" spans="1:21" s="81" customFormat="1">
      <c r="A192" s="80" t="s">
        <v>135</v>
      </c>
      <c r="B192" s="211">
        <v>72116</v>
      </c>
      <c r="C192" s="200" t="s">
        <v>225</v>
      </c>
      <c r="D192" s="92" t="s">
        <v>29</v>
      </c>
      <c r="E192" s="47">
        <f>2*0.2*0.9</f>
        <v>0.36000000000000004</v>
      </c>
      <c r="F192" s="47"/>
      <c r="G192" s="47"/>
      <c r="H192" s="47"/>
      <c r="I192" s="47"/>
      <c r="J192" s="47"/>
      <c r="K192" s="47"/>
      <c r="L192" s="78"/>
      <c r="M192" s="73"/>
      <c r="N192" s="73"/>
      <c r="O192" s="73"/>
      <c r="P192" s="73"/>
      <c r="Q192" s="73"/>
      <c r="R192" s="73"/>
      <c r="S192" s="73"/>
      <c r="T192" s="73"/>
      <c r="U192" s="73"/>
    </row>
    <row r="193" spans="1:21" s="81" customFormat="1">
      <c r="A193" s="80" t="s">
        <v>136</v>
      </c>
      <c r="B193" s="211">
        <v>72116</v>
      </c>
      <c r="C193" s="200" t="s">
        <v>540</v>
      </c>
      <c r="D193" s="92" t="s">
        <v>29</v>
      </c>
      <c r="E193" s="47">
        <f>1*0.6*0.6</f>
        <v>0.36</v>
      </c>
      <c r="F193" s="47"/>
      <c r="G193" s="47"/>
      <c r="H193" s="47"/>
      <c r="I193" s="47"/>
      <c r="J193" s="47"/>
      <c r="K193" s="47"/>
      <c r="L193" s="78"/>
      <c r="M193" s="73"/>
      <c r="N193" s="73"/>
      <c r="O193" s="73"/>
      <c r="P193" s="73"/>
      <c r="Q193" s="73"/>
      <c r="R193" s="73"/>
      <c r="S193" s="73"/>
      <c r="T193" s="73"/>
      <c r="U193" s="73"/>
    </row>
    <row r="194" spans="1:21" s="81" customFormat="1">
      <c r="A194" s="80" t="s">
        <v>226</v>
      </c>
      <c r="B194" s="211">
        <v>72116</v>
      </c>
      <c r="C194" s="200" t="s">
        <v>276</v>
      </c>
      <c r="D194" s="92" t="s">
        <v>29</v>
      </c>
      <c r="E194" s="47">
        <f>4*0.2*0.9*2</f>
        <v>1.4400000000000002</v>
      </c>
      <c r="F194" s="47"/>
      <c r="G194" s="47"/>
      <c r="H194" s="47"/>
      <c r="I194" s="47"/>
      <c r="J194" s="47"/>
      <c r="K194" s="47"/>
      <c r="L194" s="78"/>
      <c r="M194" s="73"/>
      <c r="N194" s="73"/>
      <c r="O194" s="73"/>
      <c r="P194" s="73"/>
      <c r="Q194" s="73"/>
      <c r="R194" s="73"/>
      <c r="S194" s="73"/>
      <c r="T194" s="73"/>
      <c r="U194" s="73"/>
    </row>
    <row r="195" spans="1:21" s="81" customFormat="1">
      <c r="A195" s="80" t="s">
        <v>228</v>
      </c>
      <c r="B195" s="211">
        <v>72116</v>
      </c>
      <c r="C195" s="200" t="s">
        <v>685</v>
      </c>
      <c r="D195" s="92" t="s">
        <v>29</v>
      </c>
      <c r="E195" s="47">
        <f>0.2*0.9*2</f>
        <v>0.36000000000000004</v>
      </c>
      <c r="F195" s="47"/>
      <c r="G195" s="47"/>
      <c r="H195" s="47"/>
      <c r="I195" s="47"/>
      <c r="J195" s="47"/>
      <c r="K195" s="47"/>
      <c r="L195" s="78"/>
      <c r="M195" s="73"/>
      <c r="N195" s="73"/>
      <c r="O195" s="73"/>
      <c r="P195" s="73"/>
      <c r="Q195" s="73"/>
      <c r="R195" s="73"/>
      <c r="S195" s="73"/>
      <c r="T195" s="73"/>
      <c r="U195" s="73"/>
    </row>
    <row r="196" spans="1:21" s="81" customFormat="1">
      <c r="A196" s="80" t="s">
        <v>230</v>
      </c>
      <c r="B196" s="211">
        <v>72122</v>
      </c>
      <c r="C196" s="200" t="s">
        <v>688</v>
      </c>
      <c r="D196" s="92" t="s">
        <v>29</v>
      </c>
      <c r="E196" s="47">
        <f>0.5*0.6*5</f>
        <v>1.5</v>
      </c>
      <c r="F196" s="47"/>
      <c r="G196" s="47"/>
      <c r="H196" s="47"/>
      <c r="I196" s="47"/>
      <c r="J196" s="47"/>
      <c r="K196" s="47"/>
      <c r="L196" s="78"/>
      <c r="M196" s="73"/>
      <c r="N196" s="73"/>
      <c r="O196" s="73"/>
      <c r="P196" s="73"/>
      <c r="Q196" s="73"/>
      <c r="R196" s="73"/>
      <c r="S196" s="73"/>
      <c r="T196" s="73"/>
      <c r="U196" s="73"/>
    </row>
    <row r="197" spans="1:21" s="81" customFormat="1">
      <c r="A197" s="80" t="s">
        <v>232</v>
      </c>
      <c r="B197" s="211">
        <v>72116</v>
      </c>
      <c r="C197" s="200" t="s">
        <v>277</v>
      </c>
      <c r="D197" s="92" t="s">
        <v>29</v>
      </c>
      <c r="E197" s="47">
        <f>2.5*0.9*1</f>
        <v>2.25</v>
      </c>
      <c r="F197" s="47"/>
      <c r="G197" s="47"/>
      <c r="H197" s="47"/>
      <c r="I197" s="47"/>
      <c r="J197" s="47"/>
      <c r="K197" s="47"/>
      <c r="L197" s="78"/>
      <c r="M197" s="73"/>
      <c r="N197" s="73"/>
      <c r="O197" s="73"/>
      <c r="P197" s="73"/>
      <c r="Q197" s="73"/>
      <c r="R197" s="73"/>
      <c r="S197" s="73"/>
      <c r="T197" s="73"/>
      <c r="U197" s="73"/>
    </row>
    <row r="198" spans="1:21" s="81" customFormat="1">
      <c r="A198" s="80" t="s">
        <v>258</v>
      </c>
      <c r="B198" s="211">
        <v>72116</v>
      </c>
      <c r="C198" s="200" t="s">
        <v>278</v>
      </c>
      <c r="D198" s="92" t="s">
        <v>29</v>
      </c>
      <c r="E198" s="47">
        <f>2.8*1.2*2</f>
        <v>6.72</v>
      </c>
      <c r="F198" s="47"/>
      <c r="G198" s="47"/>
      <c r="H198" s="47"/>
      <c r="I198" s="47"/>
      <c r="J198" s="47"/>
      <c r="K198" s="47"/>
      <c r="L198" s="78"/>
      <c r="M198" s="73"/>
      <c r="N198" s="73"/>
      <c r="O198" s="73"/>
      <c r="P198" s="73"/>
      <c r="Q198" s="73"/>
      <c r="R198" s="73"/>
      <c r="S198" s="73"/>
      <c r="T198" s="73"/>
      <c r="U198" s="73"/>
    </row>
    <row r="199" spans="1:21" s="81" customFormat="1">
      <c r="A199" s="80" t="s">
        <v>260</v>
      </c>
      <c r="B199" s="211">
        <v>72116</v>
      </c>
      <c r="C199" s="200" t="s">
        <v>231</v>
      </c>
      <c r="D199" s="92" t="s">
        <v>29</v>
      </c>
      <c r="E199" s="47">
        <f>(1.2*0.9*5)-2.16</f>
        <v>3.24</v>
      </c>
      <c r="F199" s="47"/>
      <c r="G199" s="47"/>
      <c r="H199" s="47"/>
      <c r="I199" s="47"/>
      <c r="J199" s="47"/>
      <c r="K199" s="47"/>
      <c r="L199" s="78"/>
      <c r="M199" s="73"/>
      <c r="N199" s="73"/>
      <c r="O199" s="73"/>
      <c r="P199" s="73"/>
      <c r="Q199" s="73"/>
      <c r="R199" s="73"/>
      <c r="S199" s="73"/>
      <c r="T199" s="73"/>
      <c r="U199" s="73"/>
    </row>
    <row r="200" spans="1:21" s="81" customFormat="1">
      <c r="A200" s="80" t="s">
        <v>567</v>
      </c>
      <c r="B200" s="211">
        <v>72116</v>
      </c>
      <c r="C200" s="200" t="s">
        <v>686</v>
      </c>
      <c r="D200" s="92" t="s">
        <v>29</v>
      </c>
      <c r="E200" s="47">
        <f>1.2*0.9*5</f>
        <v>5.4</v>
      </c>
      <c r="F200" s="47"/>
      <c r="G200" s="47"/>
      <c r="H200" s="47"/>
      <c r="I200" s="47"/>
      <c r="J200" s="47"/>
      <c r="K200" s="47"/>
      <c r="L200" s="78"/>
      <c r="M200" s="73"/>
      <c r="N200" s="73"/>
      <c r="O200" s="73"/>
      <c r="P200" s="73"/>
      <c r="Q200" s="73"/>
      <c r="R200" s="73"/>
      <c r="S200" s="73"/>
      <c r="T200" s="73"/>
      <c r="U200" s="73"/>
    </row>
    <row r="201" spans="1:21" s="81" customFormat="1">
      <c r="A201" s="80" t="s">
        <v>684</v>
      </c>
      <c r="B201" s="211">
        <v>72116</v>
      </c>
      <c r="C201" s="200" t="s">
        <v>687</v>
      </c>
      <c r="D201" s="92" t="s">
        <v>29</v>
      </c>
      <c r="E201" s="47">
        <f>0.6*0.9*1</f>
        <v>0.54</v>
      </c>
      <c r="F201" s="47"/>
      <c r="G201" s="47"/>
      <c r="H201" s="47"/>
      <c r="I201" s="47"/>
      <c r="J201" s="47"/>
      <c r="K201" s="47"/>
      <c r="L201" s="78"/>
      <c r="M201" s="73"/>
      <c r="N201" s="73"/>
      <c r="O201" s="73"/>
      <c r="P201" s="73"/>
      <c r="Q201" s="73"/>
      <c r="R201" s="73"/>
      <c r="S201" s="73"/>
      <c r="T201" s="73"/>
      <c r="U201" s="73"/>
    </row>
    <row r="202" spans="1:21" s="74" customFormat="1">
      <c r="A202" s="450" t="s">
        <v>137</v>
      </c>
      <c r="B202" s="451"/>
      <c r="C202" s="451"/>
      <c r="D202" s="451"/>
      <c r="E202" s="451"/>
      <c r="F202" s="451"/>
      <c r="G202" s="451"/>
      <c r="H202" s="451"/>
      <c r="I202" s="452"/>
      <c r="J202" s="22"/>
      <c r="K202" s="22"/>
      <c r="L202" s="79"/>
      <c r="M202" s="73"/>
      <c r="N202" s="73"/>
      <c r="O202" s="73"/>
      <c r="P202" s="73"/>
      <c r="Q202" s="73"/>
      <c r="R202" s="73"/>
      <c r="S202" s="73"/>
      <c r="T202" s="73"/>
      <c r="U202" s="73"/>
    </row>
    <row r="203" spans="1:21" s="53" customFormat="1">
      <c r="A203" s="60" t="s">
        <v>152</v>
      </c>
      <c r="B203" s="453" t="s">
        <v>67</v>
      </c>
      <c r="C203" s="454"/>
      <c r="D203" s="454"/>
      <c r="E203" s="454"/>
      <c r="F203" s="454"/>
      <c r="G203" s="454"/>
      <c r="H203" s="454"/>
      <c r="I203" s="454"/>
      <c r="J203" s="454"/>
      <c r="K203" s="455"/>
      <c r="L203" s="77"/>
      <c r="M203" s="11"/>
      <c r="N203" s="11"/>
      <c r="O203" s="11"/>
      <c r="P203" s="11"/>
      <c r="Q203" s="11"/>
      <c r="R203" s="11"/>
      <c r="S203" s="11"/>
      <c r="T203" s="11"/>
    </row>
    <row r="204" spans="1:21" s="53" customFormat="1">
      <c r="A204" s="48" t="s">
        <v>153</v>
      </c>
      <c r="B204" s="195" t="s">
        <v>234</v>
      </c>
      <c r="C204" s="76" t="s">
        <v>235</v>
      </c>
      <c r="D204" s="50" t="s">
        <v>29</v>
      </c>
      <c r="E204" s="47">
        <f>E175+E176-(E179/1.1)</f>
        <v>996.51049999999998</v>
      </c>
      <c r="F204" s="47"/>
      <c r="G204" s="47"/>
      <c r="H204" s="47"/>
      <c r="I204" s="47"/>
      <c r="J204" s="47"/>
      <c r="K204" s="47"/>
      <c r="L204" s="11"/>
      <c r="M204" s="11"/>
      <c r="N204" s="11"/>
      <c r="O204" s="11"/>
      <c r="P204" s="11"/>
      <c r="Q204" s="11"/>
      <c r="R204" s="11"/>
      <c r="S204" s="11"/>
      <c r="T204" s="11"/>
    </row>
    <row r="205" spans="1:21" s="53" customFormat="1">
      <c r="A205" s="48" t="s">
        <v>154</v>
      </c>
      <c r="B205" s="195" t="s">
        <v>236</v>
      </c>
      <c r="C205" s="76" t="s">
        <v>237</v>
      </c>
      <c r="D205" s="50" t="s">
        <v>29</v>
      </c>
      <c r="E205" s="47">
        <f>E204-E206</f>
        <v>479.85649999999998</v>
      </c>
      <c r="F205" s="47"/>
      <c r="G205" s="47"/>
      <c r="H205" s="47"/>
      <c r="I205" s="47"/>
      <c r="J205" s="47"/>
      <c r="K205" s="47"/>
      <c r="L205" s="11"/>
      <c r="M205" s="11"/>
      <c r="N205" s="11"/>
      <c r="O205" s="11"/>
      <c r="P205" s="11"/>
      <c r="Q205" s="11"/>
      <c r="R205" s="11"/>
      <c r="S205" s="11"/>
      <c r="T205" s="11"/>
    </row>
    <row r="206" spans="1:21" s="53" customFormat="1">
      <c r="A206" s="48" t="s">
        <v>155</v>
      </c>
      <c r="B206" s="197">
        <v>79460</v>
      </c>
      <c r="C206" s="76" t="s">
        <v>279</v>
      </c>
      <c r="D206" s="50" t="s">
        <v>29</v>
      </c>
      <c r="E206" s="47">
        <f>(2.85*(13.6+10.1+7.2+14.8+8.55+8.55+11.8+7.6+36.69+16.35+13.9+12.9))+(1.2*(3.4+2.25+2.25))+(1.4*2.1*3*4)+10.08</f>
        <v>516.654</v>
      </c>
      <c r="F206" s="47"/>
      <c r="G206" s="47"/>
      <c r="H206" s="47"/>
      <c r="I206" s="47"/>
      <c r="J206" s="47"/>
      <c r="K206" s="47"/>
      <c r="L206" s="11"/>
      <c r="M206" s="11"/>
      <c r="N206" s="11"/>
      <c r="O206" s="11"/>
      <c r="P206" s="11"/>
      <c r="Q206" s="11"/>
      <c r="R206" s="11"/>
      <c r="S206" s="11"/>
      <c r="T206" s="11"/>
    </row>
    <row r="207" spans="1:21" s="53" customFormat="1">
      <c r="A207" s="48" t="s">
        <v>476</v>
      </c>
      <c r="B207" s="197">
        <v>79462</v>
      </c>
      <c r="C207" s="76" t="s">
        <v>675</v>
      </c>
      <c r="D207" s="50" t="s">
        <v>29</v>
      </c>
      <c r="E207" s="47">
        <f>E206</f>
        <v>516.654</v>
      </c>
      <c r="F207" s="47"/>
      <c r="G207" s="47"/>
      <c r="H207" s="47"/>
      <c r="I207" s="47"/>
      <c r="J207" s="47"/>
      <c r="K207" s="47"/>
      <c r="L207" s="11"/>
      <c r="M207" s="11"/>
      <c r="N207" s="11"/>
      <c r="O207" s="11"/>
      <c r="P207" s="11"/>
      <c r="Q207" s="11"/>
      <c r="R207" s="11"/>
      <c r="S207" s="11"/>
      <c r="T207" s="11"/>
    </row>
    <row r="208" spans="1:21" s="53" customFormat="1">
      <c r="A208" s="48" t="s">
        <v>477</v>
      </c>
      <c r="B208" s="166" t="s">
        <v>509</v>
      </c>
      <c r="C208" s="76" t="s">
        <v>510</v>
      </c>
      <c r="D208" s="165" t="s">
        <v>29</v>
      </c>
      <c r="E208" s="117">
        <f>E180*1.15</f>
        <v>28.841999999999995</v>
      </c>
      <c r="F208" s="117"/>
      <c r="G208" s="117"/>
      <c r="H208" s="117"/>
      <c r="I208" s="117"/>
      <c r="J208" s="117"/>
      <c r="K208" s="47"/>
      <c r="L208" s="11"/>
      <c r="M208" s="11"/>
      <c r="N208" s="11"/>
      <c r="O208" s="11"/>
      <c r="P208" s="11"/>
      <c r="Q208" s="11"/>
      <c r="R208" s="11"/>
      <c r="S208" s="11"/>
      <c r="T208" s="11"/>
    </row>
    <row r="209" spans="1:22" s="53" customFormat="1">
      <c r="A209" s="48" t="s">
        <v>478</v>
      </c>
      <c r="B209" s="197">
        <v>6082</v>
      </c>
      <c r="C209" s="76" t="s">
        <v>238</v>
      </c>
      <c r="D209" s="50" t="s">
        <v>29</v>
      </c>
      <c r="E209" s="47">
        <f>(0.8*2.1*3*6)+(0.7*2.1*3*2)+(1*2.1*3*2)</f>
        <v>51.660000000000004</v>
      </c>
      <c r="F209" s="47"/>
      <c r="G209" s="47"/>
      <c r="H209" s="47"/>
      <c r="I209" s="47"/>
      <c r="J209" s="47"/>
      <c r="K209" s="47"/>
      <c r="L209" s="11"/>
      <c r="M209" s="11"/>
      <c r="N209" s="11"/>
      <c r="O209" s="11"/>
      <c r="P209" s="11"/>
      <c r="Q209" s="11"/>
      <c r="R209" s="11"/>
      <c r="S209" s="11"/>
      <c r="T209" s="11"/>
    </row>
    <row r="210" spans="1:22" s="53" customFormat="1">
      <c r="A210" s="479" t="s">
        <v>156</v>
      </c>
      <c r="B210" s="480"/>
      <c r="C210" s="480"/>
      <c r="D210" s="480"/>
      <c r="E210" s="480"/>
      <c r="F210" s="480"/>
      <c r="G210" s="480"/>
      <c r="H210" s="480"/>
      <c r="I210" s="481"/>
      <c r="J210" s="23"/>
      <c r="K210" s="23"/>
      <c r="L210" s="77"/>
      <c r="M210" s="11"/>
      <c r="N210" s="11"/>
      <c r="O210" s="11"/>
      <c r="P210" s="11"/>
      <c r="Q210" s="11"/>
      <c r="R210" s="11"/>
      <c r="S210" s="11"/>
      <c r="T210" s="11"/>
    </row>
    <row r="211" spans="1:22" s="74" customFormat="1">
      <c r="A211" s="70" t="s">
        <v>158</v>
      </c>
      <c r="B211" s="477" t="s">
        <v>120</v>
      </c>
      <c r="C211" s="478"/>
      <c r="D211" s="478"/>
      <c r="E211" s="478"/>
      <c r="F211" s="478"/>
      <c r="G211" s="478"/>
      <c r="H211" s="478"/>
      <c r="I211" s="478"/>
      <c r="J211" s="478"/>
      <c r="K211" s="478"/>
      <c r="L211" s="78"/>
      <c r="M211" s="73"/>
      <c r="N211" s="73"/>
      <c r="O211" s="73"/>
      <c r="P211" s="73"/>
      <c r="Q211" s="73"/>
      <c r="R211" s="73"/>
      <c r="S211" s="73"/>
      <c r="T211" s="73"/>
      <c r="U211" s="73"/>
      <c r="V211" s="73"/>
    </row>
    <row r="212" spans="1:22" s="74" customFormat="1">
      <c r="A212" s="70" t="s">
        <v>157</v>
      </c>
      <c r="B212" s="241" t="s">
        <v>440</v>
      </c>
      <c r="C212" s="122" t="s">
        <v>531</v>
      </c>
      <c r="D212" s="123" t="s">
        <v>29</v>
      </c>
      <c r="E212" s="117">
        <f>224.76-165.36</f>
        <v>59.399999999999977</v>
      </c>
      <c r="F212" s="242"/>
      <c r="G212" s="117"/>
      <c r="H212" s="117"/>
      <c r="I212" s="117"/>
      <c r="J212" s="117"/>
      <c r="K212" s="117"/>
      <c r="L212" s="78"/>
      <c r="M212" s="73"/>
      <c r="N212" s="73"/>
      <c r="O212" s="73"/>
      <c r="P212" s="73"/>
      <c r="Q212" s="73"/>
      <c r="R212" s="73"/>
      <c r="S212" s="73"/>
      <c r="T212" s="73"/>
      <c r="U212" s="73"/>
      <c r="V212" s="73"/>
    </row>
    <row r="213" spans="1:22" s="74" customFormat="1">
      <c r="A213" s="462" t="s">
        <v>161</v>
      </c>
      <c r="B213" s="463"/>
      <c r="C213" s="463"/>
      <c r="D213" s="463"/>
      <c r="E213" s="463"/>
      <c r="F213" s="463"/>
      <c r="G213" s="463"/>
      <c r="H213" s="463"/>
      <c r="I213" s="464"/>
      <c r="J213" s="23"/>
      <c r="K213" s="23"/>
      <c r="L213" s="79"/>
      <c r="M213" s="73"/>
      <c r="N213" s="73"/>
      <c r="O213" s="73"/>
      <c r="P213" s="73"/>
      <c r="Q213" s="73"/>
      <c r="R213" s="73"/>
      <c r="S213" s="73"/>
      <c r="T213" s="73"/>
      <c r="U213" s="73"/>
      <c r="V213" s="73"/>
    </row>
    <row r="214" spans="1:22">
      <c r="A214" s="60" t="s">
        <v>119</v>
      </c>
      <c r="B214" s="458" t="s">
        <v>25</v>
      </c>
      <c r="C214" s="459"/>
      <c r="D214" s="459"/>
      <c r="E214" s="459"/>
      <c r="F214" s="459"/>
      <c r="G214" s="459"/>
      <c r="H214" s="459"/>
      <c r="I214" s="459"/>
      <c r="J214" s="459"/>
      <c r="K214" s="459"/>
      <c r="L214" s="83"/>
    </row>
    <row r="215" spans="1:22" s="53" customFormat="1">
      <c r="A215" s="48" t="s">
        <v>121</v>
      </c>
      <c r="B215" s="197">
        <v>9537</v>
      </c>
      <c r="C215" s="11" t="s">
        <v>239</v>
      </c>
      <c r="D215" s="50" t="s">
        <v>29</v>
      </c>
      <c r="E215" s="47">
        <f>E13</f>
        <v>168.36</v>
      </c>
      <c r="F215" s="47"/>
      <c r="G215" s="47"/>
      <c r="H215" s="47"/>
      <c r="I215" s="47"/>
      <c r="J215" s="47"/>
      <c r="K215" s="47"/>
    </row>
    <row r="216" spans="1:22">
      <c r="A216" s="479" t="s">
        <v>124</v>
      </c>
      <c r="B216" s="480"/>
      <c r="C216" s="480"/>
      <c r="D216" s="480"/>
      <c r="E216" s="480"/>
      <c r="F216" s="480"/>
      <c r="G216" s="480"/>
      <c r="H216" s="480"/>
      <c r="I216" s="481"/>
      <c r="J216" s="23"/>
      <c r="K216" s="39"/>
    </row>
    <row r="217" spans="1:22" s="26" customFormat="1">
      <c r="A217" s="20"/>
      <c r="B217" s="75"/>
      <c r="C217" s="460"/>
      <c r="D217" s="460"/>
      <c r="E217" s="460"/>
      <c r="F217" s="460"/>
      <c r="G217" s="460"/>
      <c r="H217" s="460"/>
      <c r="I217" s="460"/>
      <c r="J217" s="460"/>
      <c r="K217" s="461"/>
    </row>
    <row r="218" spans="1:22" s="69" customFormat="1" ht="15.75">
      <c r="A218" s="445" t="s">
        <v>14</v>
      </c>
      <c r="B218" s="446"/>
      <c r="C218" s="446"/>
      <c r="D218" s="446"/>
      <c r="E218" s="446"/>
      <c r="F218" s="446"/>
      <c r="G218" s="446"/>
      <c r="H218" s="446"/>
      <c r="I218" s="447"/>
      <c r="J218" s="68"/>
      <c r="K218" s="68"/>
    </row>
    <row r="220" spans="1:22">
      <c r="H220" s="43"/>
      <c r="I220" s="12"/>
    </row>
    <row r="221" spans="1:22">
      <c r="I221" s="31"/>
    </row>
    <row r="223" spans="1:22">
      <c r="A223" s="28"/>
      <c r="B223" s="28"/>
      <c r="C223" s="28"/>
      <c r="D223" s="29"/>
      <c r="E223" s="30"/>
      <c r="F223" s="28"/>
      <c r="G223" s="28"/>
      <c r="H223" s="28"/>
      <c r="I223" s="28"/>
      <c r="J223" s="28"/>
    </row>
    <row r="224" spans="1:22">
      <c r="A224" s="28"/>
      <c r="B224" s="28"/>
      <c r="C224" s="28"/>
      <c r="D224" s="29"/>
      <c r="E224" s="30"/>
      <c r="F224" s="28"/>
      <c r="G224" s="30"/>
      <c r="H224" s="28"/>
      <c r="I224" s="30"/>
      <c r="J224" s="30"/>
    </row>
    <row r="225" spans="1:10">
      <c r="A225" s="28"/>
      <c r="B225" s="28"/>
      <c r="C225" s="28"/>
      <c r="D225" s="29"/>
      <c r="E225" s="30"/>
      <c r="F225" s="28"/>
      <c r="G225" s="30"/>
      <c r="H225" s="28"/>
      <c r="I225" s="30"/>
      <c r="J225" s="30"/>
    </row>
    <row r="226" spans="1:10">
      <c r="A226" s="28"/>
      <c r="B226" s="28"/>
      <c r="C226" s="28"/>
      <c r="D226" s="29"/>
      <c r="E226" s="30"/>
      <c r="F226" s="28"/>
      <c r="G226" s="30"/>
      <c r="H226" s="28"/>
      <c r="I226" s="30"/>
      <c r="J226" s="30"/>
    </row>
    <row r="227" spans="1:10">
      <c r="A227" s="28"/>
      <c r="B227" s="28"/>
      <c r="C227" s="28"/>
      <c r="D227" s="29"/>
      <c r="E227" s="30"/>
      <c r="F227" s="28"/>
      <c r="G227" s="30"/>
      <c r="H227" s="28"/>
      <c r="I227" s="30"/>
      <c r="J227" s="30"/>
    </row>
    <row r="228" spans="1:10">
      <c r="A228" s="28"/>
      <c r="B228" s="28"/>
      <c r="C228" s="28"/>
      <c r="D228" s="29"/>
      <c r="E228" s="30"/>
      <c r="F228" s="28"/>
      <c r="G228" s="30"/>
      <c r="H228" s="28"/>
      <c r="I228" s="30"/>
      <c r="J228" s="30"/>
    </row>
    <row r="229" spans="1:10">
      <c r="A229" s="28"/>
      <c r="B229" s="28"/>
      <c r="C229" s="28"/>
      <c r="D229" s="29"/>
      <c r="E229" s="30"/>
      <c r="F229" s="28"/>
      <c r="G229" s="30"/>
      <c r="H229" s="28"/>
      <c r="I229" s="30"/>
      <c r="J229" s="30"/>
    </row>
    <row r="230" spans="1:10">
      <c r="A230" s="28"/>
      <c r="B230" s="28"/>
      <c r="C230" s="28"/>
      <c r="D230" s="29"/>
      <c r="E230" s="30"/>
      <c r="F230" s="28"/>
      <c r="G230" s="30"/>
      <c r="H230" s="28"/>
      <c r="I230" s="30"/>
      <c r="J230" s="30"/>
    </row>
    <row r="231" spans="1:10">
      <c r="A231" s="28"/>
      <c r="B231" s="28"/>
      <c r="C231" s="28"/>
      <c r="D231" s="29"/>
      <c r="E231" s="30"/>
      <c r="F231" s="28"/>
      <c r="G231" s="30"/>
      <c r="H231" s="28"/>
      <c r="I231" s="30"/>
      <c r="J231" s="30"/>
    </row>
    <row r="232" spans="1:10">
      <c r="A232" s="31"/>
      <c r="B232" s="31"/>
      <c r="C232" s="31"/>
      <c r="D232" s="32"/>
      <c r="E232" s="45"/>
      <c r="F232" s="31"/>
      <c r="G232" s="31"/>
      <c r="H232" s="31"/>
      <c r="I232" s="31"/>
      <c r="J232" s="31"/>
    </row>
    <row r="233" spans="1:10">
      <c r="A233" s="28"/>
      <c r="B233" s="28"/>
      <c r="C233" s="28"/>
      <c r="D233" s="29"/>
      <c r="E233" s="30"/>
      <c r="F233" s="28"/>
      <c r="G233" s="30"/>
      <c r="H233" s="28"/>
      <c r="I233" s="30"/>
      <c r="J233" s="30"/>
    </row>
    <row r="234" spans="1:10">
      <c r="A234" s="28"/>
      <c r="B234" s="28"/>
      <c r="C234" s="28"/>
      <c r="D234" s="29"/>
      <c r="E234" s="30"/>
      <c r="F234" s="28"/>
      <c r="G234" s="30"/>
      <c r="H234" s="28"/>
      <c r="I234" s="30"/>
      <c r="J234" s="30"/>
    </row>
    <row r="235" spans="1:10">
      <c r="A235" s="28"/>
      <c r="B235" s="28"/>
      <c r="C235" s="28"/>
      <c r="D235" s="29"/>
      <c r="E235" s="30"/>
      <c r="F235" s="30"/>
      <c r="G235" s="30"/>
      <c r="H235" s="28"/>
      <c r="I235" s="30"/>
      <c r="J235" s="30"/>
    </row>
    <row r="236" spans="1:10">
      <c r="A236" s="28"/>
      <c r="B236" s="28"/>
      <c r="C236" s="28"/>
      <c r="D236" s="29"/>
      <c r="E236" s="30"/>
      <c r="F236" s="30"/>
      <c r="G236" s="30"/>
      <c r="H236" s="28"/>
      <c r="I236" s="30"/>
      <c r="J236" s="30"/>
    </row>
    <row r="237" spans="1:10">
      <c r="A237" s="28"/>
      <c r="B237" s="28"/>
      <c r="C237" s="28"/>
      <c r="D237" s="29"/>
      <c r="E237" s="30"/>
      <c r="F237" s="30"/>
      <c r="G237" s="30"/>
      <c r="H237" s="28"/>
      <c r="I237" s="30"/>
      <c r="J237" s="30"/>
    </row>
    <row r="238" spans="1:10">
      <c r="A238" s="28"/>
      <c r="B238" s="28"/>
      <c r="C238" s="28"/>
      <c r="D238" s="29"/>
      <c r="E238" s="30"/>
      <c r="F238" s="30"/>
      <c r="G238" s="30"/>
      <c r="H238" s="28"/>
      <c r="I238" s="30"/>
      <c r="J238" s="30"/>
    </row>
    <row r="239" spans="1:10">
      <c r="A239" s="28"/>
      <c r="B239" s="28"/>
      <c r="C239" s="28"/>
      <c r="D239" s="29"/>
      <c r="E239" s="30"/>
      <c r="F239" s="30"/>
      <c r="G239" s="30"/>
      <c r="H239" s="28"/>
      <c r="I239" s="30"/>
      <c r="J239" s="30"/>
    </row>
    <row r="240" spans="1:10">
      <c r="A240" s="28"/>
      <c r="B240" s="28"/>
      <c r="C240" s="28"/>
      <c r="D240" s="29"/>
      <c r="E240" s="30"/>
      <c r="F240" s="30"/>
      <c r="G240" s="30"/>
      <c r="H240" s="28"/>
      <c r="I240" s="30"/>
      <c r="J240" s="30"/>
    </row>
    <row r="241" spans="1:11">
      <c r="A241" s="28"/>
      <c r="B241" s="28"/>
      <c r="C241" s="28"/>
      <c r="D241" s="29"/>
      <c r="E241" s="30"/>
      <c r="F241" s="30"/>
      <c r="G241" s="30"/>
      <c r="H241" s="30"/>
      <c r="I241" s="30"/>
      <c r="J241" s="30"/>
    </row>
    <row r="242" spans="1:11">
      <c r="A242" s="28"/>
      <c r="B242" s="28"/>
      <c r="C242" s="28"/>
      <c r="D242" s="29"/>
      <c r="E242" s="30"/>
      <c r="F242" s="28"/>
      <c r="G242" s="30"/>
      <c r="H242" s="28"/>
      <c r="I242" s="30"/>
      <c r="J242" s="30"/>
    </row>
    <row r="243" spans="1:11">
      <c r="A243" s="28"/>
      <c r="B243" s="28"/>
      <c r="C243" s="28"/>
      <c r="D243" s="29"/>
      <c r="E243" s="30"/>
      <c r="F243" s="30"/>
      <c r="G243" s="30"/>
      <c r="H243" s="28"/>
      <c r="I243" s="30"/>
      <c r="J243" s="30"/>
    </row>
    <row r="244" spans="1:11">
      <c r="A244" s="28"/>
      <c r="B244" s="28"/>
      <c r="C244" s="28"/>
      <c r="D244" s="29"/>
      <c r="E244" s="30"/>
      <c r="F244" s="30"/>
      <c r="G244" s="30"/>
      <c r="H244" s="28"/>
      <c r="I244" s="30"/>
      <c r="J244" s="30"/>
    </row>
    <row r="245" spans="1:11">
      <c r="A245" s="28"/>
      <c r="B245" s="28"/>
      <c r="C245" s="28"/>
      <c r="D245" s="29"/>
      <c r="E245" s="30"/>
      <c r="F245" s="28"/>
      <c r="G245" s="30"/>
      <c r="H245" s="28"/>
      <c r="I245" s="30"/>
      <c r="J245" s="30"/>
      <c r="K245" s="26"/>
    </row>
    <row r="246" spans="1:11">
      <c r="A246" s="33"/>
      <c r="B246" s="33"/>
      <c r="C246" s="34"/>
      <c r="D246" s="35"/>
      <c r="E246" s="46"/>
      <c r="F246" s="33"/>
      <c r="G246" s="30"/>
      <c r="H246" s="33"/>
      <c r="I246" s="30"/>
      <c r="J246" s="30"/>
    </row>
    <row r="247" spans="1:11">
      <c r="A247" s="28"/>
      <c r="B247" s="28"/>
      <c r="C247" s="28"/>
      <c r="D247" s="29"/>
      <c r="E247" s="30"/>
      <c r="F247" s="28"/>
      <c r="G247" s="30"/>
      <c r="H247" s="28"/>
      <c r="I247" s="30"/>
      <c r="J247" s="30"/>
    </row>
    <row r="248" spans="1:11">
      <c r="A248" s="28"/>
      <c r="B248" s="28"/>
      <c r="C248" s="28"/>
      <c r="D248" s="29"/>
      <c r="E248" s="30"/>
      <c r="F248" s="28"/>
      <c r="G248" s="30"/>
      <c r="H248" s="28"/>
      <c r="I248" s="30"/>
      <c r="J248" s="30"/>
    </row>
    <row r="249" spans="1:11">
      <c r="A249" s="28"/>
      <c r="B249" s="28"/>
      <c r="C249" s="28"/>
      <c r="D249" s="29"/>
      <c r="E249" s="30"/>
      <c r="F249" s="28"/>
      <c r="G249" s="30"/>
      <c r="H249" s="28"/>
      <c r="I249" s="30"/>
      <c r="J249" s="30"/>
    </row>
    <row r="250" spans="1:11">
      <c r="A250" s="28"/>
      <c r="B250" s="28"/>
      <c r="C250" s="28"/>
      <c r="D250" s="29"/>
      <c r="E250" s="30"/>
      <c r="F250" s="28"/>
      <c r="G250" s="30"/>
      <c r="H250" s="28"/>
      <c r="I250" s="30"/>
      <c r="J250" s="30"/>
    </row>
    <row r="251" spans="1:11">
      <c r="A251" s="28"/>
      <c r="B251" s="28"/>
      <c r="C251" s="28"/>
      <c r="D251" s="29"/>
      <c r="E251" s="30"/>
      <c r="F251" s="30"/>
      <c r="G251" s="30"/>
      <c r="H251" s="30"/>
      <c r="I251" s="30"/>
      <c r="J251" s="30"/>
    </row>
    <row r="252" spans="1:11">
      <c r="A252" s="31"/>
      <c r="B252" s="31"/>
      <c r="C252" s="31"/>
      <c r="D252" s="32"/>
      <c r="E252" s="45"/>
      <c r="F252" s="31"/>
      <c r="G252" s="31"/>
      <c r="H252" s="31"/>
      <c r="I252" s="31"/>
      <c r="J252" s="31"/>
    </row>
    <row r="253" spans="1:11">
      <c r="A253" s="31"/>
      <c r="B253" s="31"/>
      <c r="C253" s="31"/>
    </row>
    <row r="254" spans="1:11">
      <c r="A254" s="28"/>
      <c r="B254" s="28"/>
      <c r="C254" s="29"/>
      <c r="D254" s="28"/>
      <c r="E254" s="30"/>
      <c r="F254" s="28"/>
      <c r="G254" s="28"/>
      <c r="H254" s="28"/>
      <c r="I254" s="28"/>
      <c r="J254" s="28"/>
      <c r="K254" s="12"/>
    </row>
    <row r="255" spans="1:11">
      <c r="A255" s="28"/>
      <c r="B255" s="28"/>
      <c r="C255" s="28"/>
      <c r="D255" s="29"/>
      <c r="E255" s="30"/>
      <c r="F255" s="30"/>
      <c r="G255" s="30"/>
      <c r="H255" s="30"/>
      <c r="I255" s="30"/>
      <c r="J255" s="30"/>
      <c r="K255" s="28"/>
    </row>
    <row r="256" spans="1:11">
      <c r="A256" s="28"/>
      <c r="B256" s="28"/>
      <c r="C256" s="28"/>
      <c r="D256" s="29"/>
      <c r="E256" s="30"/>
      <c r="F256" s="30"/>
      <c r="G256" s="30"/>
      <c r="H256" s="30"/>
      <c r="I256" s="30"/>
      <c r="J256" s="30"/>
      <c r="K256" s="28"/>
    </row>
    <row r="257" spans="1:11">
      <c r="A257" s="28"/>
      <c r="B257" s="28"/>
      <c r="C257" s="28"/>
      <c r="D257" s="29"/>
      <c r="E257" s="30"/>
      <c r="F257" s="30"/>
      <c r="G257" s="30"/>
      <c r="H257" s="30"/>
      <c r="I257" s="30"/>
      <c r="J257" s="30"/>
      <c r="K257" s="28"/>
    </row>
    <row r="258" spans="1:11">
      <c r="A258" s="28"/>
      <c r="B258" s="28"/>
      <c r="C258" s="28"/>
      <c r="D258" s="29"/>
      <c r="E258" s="30"/>
      <c r="F258" s="30"/>
      <c r="G258" s="30"/>
      <c r="H258" s="30"/>
      <c r="I258" s="30"/>
      <c r="J258" s="30"/>
      <c r="K258" s="28"/>
    </row>
    <row r="259" spans="1:11">
      <c r="A259" s="28"/>
      <c r="B259" s="28"/>
      <c r="C259" s="28"/>
      <c r="D259" s="29"/>
      <c r="E259" s="30"/>
      <c r="F259" s="30"/>
      <c r="G259" s="30"/>
      <c r="H259" s="30"/>
      <c r="I259" s="30"/>
      <c r="J259" s="30"/>
      <c r="K259" s="28"/>
    </row>
    <row r="260" spans="1:11">
      <c r="A260" s="28"/>
      <c r="B260" s="28"/>
      <c r="C260" s="28"/>
      <c r="D260" s="29"/>
      <c r="E260" s="30"/>
      <c r="F260" s="30"/>
      <c r="G260" s="30"/>
      <c r="H260" s="30"/>
      <c r="I260" s="30"/>
      <c r="J260" s="30"/>
      <c r="K260" s="28"/>
    </row>
    <row r="261" spans="1:11">
      <c r="A261" s="28"/>
      <c r="B261" s="28"/>
      <c r="C261" s="28"/>
      <c r="D261" s="29"/>
      <c r="E261" s="30"/>
      <c r="F261" s="30"/>
      <c r="G261" s="30"/>
      <c r="H261" s="30"/>
      <c r="I261" s="30"/>
      <c r="J261" s="30"/>
      <c r="K261" s="28"/>
    </row>
    <row r="262" spans="1:11">
      <c r="A262" s="28"/>
      <c r="B262" s="28"/>
      <c r="C262" s="28"/>
      <c r="D262" s="29"/>
      <c r="E262" s="30"/>
      <c r="F262" s="30"/>
      <c r="G262" s="30"/>
      <c r="H262" s="30"/>
      <c r="I262" s="30"/>
      <c r="J262" s="30"/>
      <c r="K262" s="28"/>
    </row>
    <row r="263" spans="1:11">
      <c r="A263" s="28"/>
      <c r="B263" s="28"/>
      <c r="C263" s="28"/>
      <c r="D263" s="29"/>
      <c r="E263" s="30"/>
      <c r="F263" s="30"/>
      <c r="G263" s="30"/>
      <c r="H263" s="30"/>
      <c r="I263" s="30"/>
      <c r="J263" s="30"/>
      <c r="K263" s="28"/>
    </row>
    <row r="264" spans="1:11">
      <c r="A264" s="28"/>
      <c r="B264" s="28"/>
      <c r="C264" s="28"/>
      <c r="D264" s="29"/>
      <c r="E264" s="30"/>
      <c r="F264" s="30"/>
      <c r="G264" s="30"/>
      <c r="H264" s="30"/>
      <c r="I264" s="30"/>
      <c r="J264" s="30"/>
      <c r="K264" s="28"/>
    </row>
    <row r="265" spans="1:11">
      <c r="A265" s="28"/>
      <c r="B265" s="28"/>
      <c r="C265" s="28"/>
      <c r="D265" s="29"/>
      <c r="E265" s="30"/>
      <c r="F265" s="30"/>
      <c r="G265" s="30"/>
      <c r="H265" s="30"/>
      <c r="I265" s="30"/>
      <c r="J265" s="30"/>
      <c r="K265" s="28"/>
    </row>
    <row r="266" spans="1:11">
      <c r="A266" s="28"/>
      <c r="B266" s="28"/>
      <c r="C266" s="28"/>
      <c r="D266" s="29"/>
      <c r="E266" s="30"/>
      <c r="F266" s="30"/>
      <c r="G266" s="30"/>
      <c r="H266" s="30"/>
      <c r="I266" s="30"/>
      <c r="J266" s="30"/>
      <c r="K266" s="28"/>
    </row>
    <row r="267" spans="1:11">
      <c r="A267" s="28"/>
      <c r="B267" s="28"/>
      <c r="C267" s="28"/>
      <c r="D267" s="29"/>
      <c r="E267" s="30"/>
      <c r="F267" s="30"/>
      <c r="G267" s="30"/>
      <c r="H267" s="30"/>
      <c r="I267" s="30"/>
      <c r="J267" s="30"/>
      <c r="K267" s="28"/>
    </row>
    <row r="268" spans="1:11">
      <c r="A268" s="28"/>
      <c r="B268" s="28"/>
      <c r="C268" s="28"/>
      <c r="D268" s="29"/>
      <c r="E268" s="30"/>
      <c r="F268" s="30"/>
      <c r="G268" s="30"/>
      <c r="H268" s="30"/>
      <c r="I268" s="30"/>
      <c r="J268" s="30"/>
      <c r="K268" s="28"/>
    </row>
    <row r="269" spans="1:11">
      <c r="A269" s="28"/>
      <c r="B269" s="28"/>
      <c r="C269" s="28"/>
      <c r="D269" s="29"/>
      <c r="E269" s="30"/>
      <c r="F269" s="30"/>
      <c r="G269" s="30"/>
      <c r="H269" s="30"/>
      <c r="I269" s="30"/>
      <c r="J269" s="30"/>
      <c r="K269" s="28"/>
    </row>
    <row r="270" spans="1:11">
      <c r="A270" s="28"/>
      <c r="B270" s="28"/>
      <c r="C270" s="28"/>
      <c r="D270" s="29"/>
      <c r="E270" s="30"/>
      <c r="F270" s="30"/>
      <c r="G270" s="30"/>
      <c r="H270" s="30"/>
      <c r="I270" s="30"/>
      <c r="J270" s="30"/>
      <c r="K270" s="28"/>
    </row>
    <row r="271" spans="1:11">
      <c r="A271" s="28"/>
      <c r="B271" s="28"/>
      <c r="C271" s="40"/>
      <c r="D271" s="29"/>
      <c r="E271" s="41"/>
      <c r="F271" s="30"/>
      <c r="G271" s="30"/>
      <c r="H271" s="30"/>
      <c r="I271" s="30"/>
      <c r="J271" s="30"/>
      <c r="K271" s="28"/>
    </row>
    <row r="272" spans="1:11">
      <c r="A272" s="28"/>
      <c r="B272" s="28"/>
      <c r="C272" s="40"/>
      <c r="D272" s="29"/>
      <c r="E272" s="41"/>
      <c r="F272" s="30"/>
      <c r="G272" s="30"/>
      <c r="H272" s="30"/>
      <c r="I272" s="30"/>
      <c r="J272" s="30"/>
      <c r="K272" s="28"/>
    </row>
    <row r="273" spans="1:11">
      <c r="A273" s="28"/>
      <c r="B273" s="28"/>
      <c r="C273" s="40"/>
      <c r="D273" s="29"/>
      <c r="E273" s="41"/>
      <c r="F273" s="30"/>
      <c r="G273" s="30"/>
      <c r="H273" s="30"/>
      <c r="I273" s="30"/>
      <c r="J273" s="30"/>
      <c r="K273" s="28"/>
    </row>
    <row r="274" spans="1:11">
      <c r="A274" s="28"/>
      <c r="B274" s="28"/>
      <c r="C274" s="40"/>
      <c r="D274" s="29"/>
      <c r="E274" s="41"/>
      <c r="F274" s="30"/>
      <c r="G274" s="30"/>
      <c r="H274" s="30"/>
      <c r="I274" s="30"/>
      <c r="J274" s="30"/>
      <c r="K274" s="28"/>
    </row>
    <row r="275" spans="1:11">
      <c r="A275" s="28"/>
      <c r="B275" s="28"/>
      <c r="C275" s="28"/>
      <c r="D275" s="29"/>
      <c r="E275" s="30"/>
      <c r="F275" s="30"/>
      <c r="G275" s="30"/>
      <c r="H275" s="30"/>
      <c r="I275" s="30"/>
      <c r="J275" s="30"/>
      <c r="K275" s="28"/>
    </row>
    <row r="276" spans="1:11">
      <c r="A276" s="28"/>
      <c r="B276" s="28"/>
      <c r="C276" s="28"/>
      <c r="D276" s="42"/>
      <c r="E276" s="30"/>
      <c r="F276" s="30"/>
      <c r="G276" s="30"/>
      <c r="H276" s="30"/>
      <c r="I276" s="30"/>
      <c r="J276" s="30"/>
      <c r="K276" s="28"/>
    </row>
    <row r="277" spans="1:11">
      <c r="A277" s="28"/>
      <c r="B277" s="28"/>
      <c r="C277" s="28"/>
      <c r="D277" s="29"/>
      <c r="E277" s="30"/>
      <c r="F277" s="30"/>
      <c r="G277" s="30"/>
      <c r="H277" s="30"/>
      <c r="I277" s="30"/>
      <c r="J277" s="30"/>
      <c r="K277" s="28"/>
    </row>
    <row r="278" spans="1:11">
      <c r="A278" s="28"/>
      <c r="B278" s="28"/>
      <c r="C278" s="28"/>
      <c r="D278" s="29"/>
      <c r="E278" s="30"/>
      <c r="F278" s="30"/>
      <c r="G278" s="30"/>
      <c r="H278" s="30"/>
      <c r="I278" s="30"/>
      <c r="J278" s="30"/>
      <c r="K278" s="28"/>
    </row>
    <row r="279" spans="1:11">
      <c r="A279" s="28"/>
      <c r="B279" s="28"/>
      <c r="C279" s="28"/>
      <c r="D279" s="29"/>
      <c r="E279" s="30"/>
      <c r="F279" s="30"/>
      <c r="G279" s="30"/>
      <c r="H279" s="30"/>
      <c r="I279" s="30"/>
      <c r="J279" s="30"/>
      <c r="K279" s="28"/>
    </row>
    <row r="280" spans="1:11">
      <c r="A280" s="28"/>
      <c r="B280" s="28"/>
      <c r="C280" s="28"/>
      <c r="D280" s="29"/>
      <c r="E280" s="30"/>
      <c r="F280" s="30"/>
      <c r="G280" s="30"/>
      <c r="H280" s="30"/>
      <c r="I280" s="30"/>
      <c r="J280" s="30"/>
      <c r="K280" s="28"/>
    </row>
    <row r="281" spans="1:11">
      <c r="A281" s="28"/>
      <c r="B281" s="28"/>
      <c r="C281" s="28"/>
      <c r="D281" s="29"/>
      <c r="E281" s="30"/>
      <c r="F281" s="30"/>
      <c r="G281" s="30"/>
      <c r="H281" s="30"/>
      <c r="I281" s="30"/>
      <c r="J281" s="30"/>
      <c r="K281" s="28"/>
    </row>
    <row r="282" spans="1:11">
      <c r="A282" s="28"/>
      <c r="B282" s="28"/>
      <c r="C282" s="28"/>
      <c r="D282" s="29"/>
      <c r="E282" s="30"/>
      <c r="F282" s="30"/>
      <c r="G282" s="30"/>
      <c r="H282" s="30"/>
      <c r="I282" s="30"/>
      <c r="J282" s="30"/>
      <c r="K282" s="28"/>
    </row>
    <row r="283" spans="1:11">
      <c r="A283" s="28"/>
      <c r="B283" s="28"/>
      <c r="C283" s="31"/>
      <c r="D283" s="29"/>
      <c r="E283" s="30"/>
      <c r="F283" s="30"/>
      <c r="G283" s="30"/>
      <c r="H283" s="30"/>
      <c r="I283" s="30"/>
      <c r="J283" s="30"/>
      <c r="K283" s="28"/>
    </row>
    <row r="284" spans="1:11">
      <c r="A284" s="28"/>
      <c r="B284" s="28"/>
      <c r="C284" s="28"/>
      <c r="D284" s="29"/>
      <c r="E284" s="30"/>
      <c r="F284" s="30"/>
      <c r="G284" s="30"/>
      <c r="H284" s="30"/>
      <c r="I284" s="30"/>
      <c r="J284" s="30"/>
      <c r="K284" s="28"/>
    </row>
    <row r="285" spans="1:11">
      <c r="A285" s="28"/>
      <c r="B285" s="28"/>
      <c r="C285" s="28"/>
      <c r="D285" s="29"/>
      <c r="E285" s="30"/>
      <c r="F285" s="30"/>
      <c r="G285" s="30"/>
      <c r="H285" s="30"/>
      <c r="I285" s="30"/>
      <c r="J285" s="30"/>
      <c r="K285" s="28"/>
    </row>
    <row r="286" spans="1:11">
      <c r="A286" s="28"/>
      <c r="B286" s="28"/>
      <c r="C286" s="28"/>
      <c r="D286" s="29"/>
      <c r="E286" s="30"/>
      <c r="F286" s="30"/>
      <c r="G286" s="30"/>
      <c r="H286" s="30"/>
      <c r="I286" s="30"/>
      <c r="J286" s="30"/>
      <c r="K286" s="28"/>
    </row>
    <row r="287" spans="1:11">
      <c r="A287" s="28"/>
      <c r="B287" s="28"/>
      <c r="C287" s="28"/>
      <c r="D287" s="29"/>
      <c r="E287" s="30"/>
      <c r="F287" s="30"/>
      <c r="G287" s="30"/>
      <c r="H287" s="30"/>
      <c r="I287" s="30"/>
      <c r="J287" s="30"/>
      <c r="K287" s="28"/>
    </row>
    <row r="288" spans="1:11">
      <c r="A288" s="28"/>
      <c r="B288" s="28"/>
      <c r="C288" s="28"/>
      <c r="D288" s="29"/>
      <c r="E288" s="30"/>
      <c r="F288" s="30"/>
      <c r="G288" s="30"/>
      <c r="H288" s="30"/>
      <c r="I288" s="30"/>
      <c r="J288" s="30"/>
      <c r="K288" s="28"/>
    </row>
    <row r="289" spans="1:7">
      <c r="A289" s="42"/>
      <c r="B289" s="42"/>
      <c r="C289" s="12"/>
      <c r="D289"/>
      <c r="G289" s="27"/>
    </row>
    <row r="290" spans="1:7">
      <c r="A290" s="42"/>
      <c r="B290" s="42"/>
      <c r="C290" s="12"/>
      <c r="D290"/>
    </row>
    <row r="291" spans="1:7">
      <c r="A291" s="1"/>
      <c r="B291" s="1"/>
      <c r="D291"/>
    </row>
  </sheetData>
  <mergeCells count="48">
    <mergeCell ref="A22:I22"/>
    <mergeCell ref="A1:K1"/>
    <mergeCell ref="D5:G5"/>
    <mergeCell ref="D7:G7"/>
    <mergeCell ref="A9:A10"/>
    <mergeCell ref="B9:B10"/>
    <mergeCell ref="C9:C10"/>
    <mergeCell ref="D9:D10"/>
    <mergeCell ref="E9:E10"/>
    <mergeCell ref="F9:G9"/>
    <mergeCell ref="H9:I9"/>
    <mergeCell ref="L9:O9"/>
    <mergeCell ref="P9:T9"/>
    <mergeCell ref="B11:K11"/>
    <mergeCell ref="A14:I14"/>
    <mergeCell ref="B15:K15"/>
    <mergeCell ref="A109:I109"/>
    <mergeCell ref="B23:K23"/>
    <mergeCell ref="A32:I32"/>
    <mergeCell ref="B33:K33"/>
    <mergeCell ref="A50:I50"/>
    <mergeCell ref="B51:K51"/>
    <mergeCell ref="A56:I56"/>
    <mergeCell ref="B57:K57"/>
    <mergeCell ref="A79:I79"/>
    <mergeCell ref="B80:K80"/>
    <mergeCell ref="A86:I86"/>
    <mergeCell ref="B87:K87"/>
    <mergeCell ref="A202:I202"/>
    <mergeCell ref="B110:K110"/>
    <mergeCell ref="A118:I118"/>
    <mergeCell ref="B119:K119"/>
    <mergeCell ref="A165:I165"/>
    <mergeCell ref="B166:K166"/>
    <mergeCell ref="A168:I168"/>
    <mergeCell ref="B169:K169"/>
    <mergeCell ref="A173:I173"/>
    <mergeCell ref="B174:K174"/>
    <mergeCell ref="A189:I189"/>
    <mergeCell ref="B190:K190"/>
    <mergeCell ref="C217:K217"/>
    <mergeCell ref="A218:I218"/>
    <mergeCell ref="B203:K203"/>
    <mergeCell ref="A210:I210"/>
    <mergeCell ref="B211:K211"/>
    <mergeCell ref="A213:I213"/>
    <mergeCell ref="B214:K214"/>
    <mergeCell ref="A216:I216"/>
  </mergeCells>
  <pageMargins left="0.51181102362204722" right="0.51181102362204722" top="0.78740157480314965" bottom="0.78740157480314965" header="0.31496062992125984" footer="0.31496062992125984"/>
  <pageSetup paperSize="9" scale="71" fitToHeight="10" orientation="landscape" r:id="rId1"/>
  <headerFooter>
    <oddFooter>&amp;LCLÍNICA&amp;CPágina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2"/>
  <sheetViews>
    <sheetView zoomScale="90" zoomScaleNormal="90" workbookViewId="0">
      <pane ySplit="10" topLeftCell="A11" activePane="bottomLeft" state="frozen"/>
      <selection pane="bottomLeft" activeCell="A11" sqref="A11:XFD11"/>
    </sheetView>
  </sheetViews>
  <sheetFormatPr defaultRowHeight="15"/>
  <cols>
    <col min="1" max="1" width="5.7109375" style="2" customWidth="1"/>
    <col min="2" max="2" width="11.28515625" style="2" customWidth="1"/>
    <col min="3" max="3" width="63.7109375" customWidth="1"/>
    <col min="4" max="4" width="9.140625" style="1"/>
    <col min="5" max="5" width="10.7109375" style="27" customWidth="1"/>
    <col min="6" max="9" width="15.7109375" customWidth="1"/>
    <col min="10" max="11" width="13.140625" customWidth="1"/>
    <col min="12" max="12" width="9.42578125" bestFit="1" customWidth="1"/>
    <col min="14" max="14" width="12.5703125" customWidth="1"/>
    <col min="19" max="19" width="12.85546875" customWidth="1"/>
  </cols>
  <sheetData>
    <row r="1" spans="1:20" s="12" customFormat="1" ht="18.75">
      <c r="A1" s="490" t="s">
        <v>30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20">
      <c r="D2" s="3"/>
      <c r="E2" s="44"/>
      <c r="F2" s="1"/>
      <c r="G2" s="1"/>
      <c r="H2" s="1"/>
    </row>
    <row r="3" spans="1:20" ht="18.75">
      <c r="D3" s="51" t="s">
        <v>280</v>
      </c>
      <c r="E3" s="52"/>
      <c r="F3" s="52"/>
      <c r="G3" s="52"/>
      <c r="H3" s="6"/>
      <c r="J3" s="19"/>
      <c r="K3" s="17"/>
    </row>
    <row r="4" spans="1:20">
      <c r="D4" s="66" t="s">
        <v>511</v>
      </c>
      <c r="E4" s="67"/>
      <c r="F4" s="65"/>
      <c r="G4" s="65"/>
      <c r="H4" s="7"/>
      <c r="J4" s="18"/>
      <c r="K4" s="17"/>
    </row>
    <row r="5" spans="1:20">
      <c r="D5" s="491" t="s">
        <v>727</v>
      </c>
      <c r="E5" s="491"/>
      <c r="F5" s="491"/>
      <c r="G5" s="491"/>
      <c r="H5" s="7"/>
      <c r="J5" s="18"/>
      <c r="K5" s="17"/>
    </row>
    <row r="6" spans="1:20">
      <c r="D6" s="55" t="s">
        <v>729</v>
      </c>
      <c r="E6" s="55"/>
      <c r="F6" s="55"/>
      <c r="G6" s="55"/>
      <c r="H6" s="7"/>
      <c r="J6" s="18"/>
      <c r="K6" s="17"/>
    </row>
    <row r="7" spans="1:20">
      <c r="D7" s="491" t="s">
        <v>661</v>
      </c>
      <c r="E7" s="491"/>
      <c r="F7" s="491"/>
      <c r="G7" s="491"/>
      <c r="H7" s="7"/>
      <c r="J7" s="18"/>
      <c r="K7" s="17"/>
    </row>
    <row r="8" spans="1:20">
      <c r="J8" s="17"/>
      <c r="K8" s="17"/>
    </row>
    <row r="9" spans="1:20" s="12" customFormat="1">
      <c r="A9" s="471" t="s">
        <v>0</v>
      </c>
      <c r="B9" s="471" t="s">
        <v>125</v>
      </c>
      <c r="C9" s="471" t="s">
        <v>1</v>
      </c>
      <c r="D9" s="471" t="s">
        <v>2</v>
      </c>
      <c r="E9" s="500" t="s">
        <v>3</v>
      </c>
      <c r="F9" s="504" t="s">
        <v>22</v>
      </c>
      <c r="G9" s="505"/>
      <c r="H9" s="502" t="s">
        <v>23</v>
      </c>
      <c r="I9" s="503"/>
      <c r="J9" s="9" t="s">
        <v>19</v>
      </c>
      <c r="K9" s="16" t="s">
        <v>668</v>
      </c>
      <c r="L9" s="499"/>
      <c r="M9" s="499"/>
      <c r="N9" s="499"/>
      <c r="O9" s="499"/>
      <c r="P9" s="498"/>
      <c r="Q9" s="498"/>
      <c r="R9" s="498"/>
      <c r="S9" s="498"/>
      <c r="T9" s="498"/>
    </row>
    <row r="10" spans="1:20">
      <c r="A10" s="472"/>
      <c r="B10" s="472"/>
      <c r="C10" s="472"/>
      <c r="D10" s="472"/>
      <c r="E10" s="501"/>
      <c r="F10" s="85" t="s">
        <v>20</v>
      </c>
      <c r="G10" s="10" t="s">
        <v>21</v>
      </c>
      <c r="H10" s="10" t="s">
        <v>20</v>
      </c>
      <c r="I10" s="10" t="s">
        <v>21</v>
      </c>
      <c r="J10" s="10" t="s">
        <v>667</v>
      </c>
      <c r="K10" s="37">
        <f>E4</f>
        <v>0</v>
      </c>
      <c r="L10" s="14"/>
      <c r="M10" s="15"/>
      <c r="N10" s="15"/>
      <c r="O10" s="15"/>
      <c r="P10" s="14"/>
      <c r="Q10" s="14"/>
      <c r="R10" s="15"/>
      <c r="S10" s="15"/>
      <c r="T10" s="14"/>
    </row>
    <row r="11" spans="1:20">
      <c r="A11" s="60" t="s">
        <v>4</v>
      </c>
      <c r="B11" s="458" t="s">
        <v>24</v>
      </c>
      <c r="C11" s="459"/>
      <c r="D11" s="459"/>
      <c r="E11" s="459"/>
      <c r="F11" s="459"/>
      <c r="G11" s="459"/>
      <c r="H11" s="459"/>
      <c r="I11" s="459"/>
      <c r="J11" s="459"/>
      <c r="K11" s="473"/>
      <c r="L11" s="11"/>
      <c r="M11" s="11"/>
      <c r="N11" s="11"/>
      <c r="O11" s="11"/>
      <c r="P11" s="11"/>
      <c r="Q11" s="11"/>
      <c r="R11" s="11"/>
      <c r="S11" s="11"/>
      <c r="T11" s="11"/>
    </row>
    <row r="12" spans="1:20" s="53" customFormat="1">
      <c r="A12" s="48" t="s">
        <v>8</v>
      </c>
      <c r="B12" s="84">
        <v>73672</v>
      </c>
      <c r="C12" s="49" t="s">
        <v>163</v>
      </c>
      <c r="D12" s="50" t="s">
        <v>29</v>
      </c>
      <c r="E12" s="47">
        <v>12.8</v>
      </c>
      <c r="F12" s="47"/>
      <c r="G12" s="47"/>
      <c r="H12" s="47"/>
      <c r="I12" s="47"/>
      <c r="J12" s="47"/>
      <c r="K12" s="47"/>
      <c r="L12" s="11"/>
      <c r="M12" s="11"/>
      <c r="N12" s="11"/>
      <c r="O12" s="11"/>
      <c r="P12" s="11"/>
      <c r="Q12" s="11"/>
      <c r="R12" s="11"/>
      <c r="S12" s="11"/>
      <c r="T12" s="11"/>
    </row>
    <row r="13" spans="1:20" s="53" customFormat="1" ht="24.75">
      <c r="A13" s="48" t="s">
        <v>9</v>
      </c>
      <c r="B13" s="195" t="s">
        <v>176</v>
      </c>
      <c r="C13" s="58" t="s">
        <v>177</v>
      </c>
      <c r="D13" s="50" t="s">
        <v>29</v>
      </c>
      <c r="E13" s="47">
        <f>11.2/2</f>
        <v>5.6</v>
      </c>
      <c r="F13" s="47"/>
      <c r="G13" s="47"/>
      <c r="H13" s="47"/>
      <c r="I13" s="47"/>
      <c r="J13" s="47"/>
      <c r="K13" s="47"/>
      <c r="L13" s="11"/>
      <c r="M13" s="11"/>
      <c r="N13" s="11"/>
      <c r="O13" s="11"/>
      <c r="P13" s="11"/>
      <c r="Q13" s="11"/>
      <c r="R13" s="11"/>
      <c r="S13" s="11"/>
      <c r="T13" s="11"/>
    </row>
    <row r="14" spans="1:20">
      <c r="A14" s="494" t="s">
        <v>15</v>
      </c>
      <c r="B14" s="494"/>
      <c r="C14" s="495"/>
      <c r="D14" s="495"/>
      <c r="E14" s="495"/>
      <c r="F14" s="495"/>
      <c r="G14" s="495"/>
      <c r="H14" s="495"/>
      <c r="I14" s="495"/>
      <c r="J14" s="22"/>
      <c r="K14" s="38"/>
      <c r="L14" s="11"/>
      <c r="M14" s="11"/>
      <c r="N14" s="11"/>
      <c r="O14" s="11"/>
      <c r="P14" s="11"/>
      <c r="Q14" s="11"/>
      <c r="R14" s="11"/>
      <c r="S14" s="11"/>
      <c r="T14" s="11"/>
    </row>
    <row r="15" spans="1:20">
      <c r="A15" s="60" t="s">
        <v>5</v>
      </c>
      <c r="B15" s="458" t="s">
        <v>103</v>
      </c>
      <c r="C15" s="459"/>
      <c r="D15" s="459"/>
      <c r="E15" s="459"/>
      <c r="F15" s="459"/>
      <c r="G15" s="459"/>
      <c r="H15" s="459"/>
      <c r="I15" s="459"/>
      <c r="J15" s="459"/>
      <c r="K15" s="473"/>
      <c r="L15" s="11"/>
      <c r="M15" s="11"/>
      <c r="N15" s="11"/>
      <c r="O15" s="11"/>
      <c r="P15" s="11"/>
      <c r="Q15" s="11"/>
      <c r="R15" s="11"/>
      <c r="S15" s="11"/>
      <c r="T15" s="11"/>
    </row>
    <row r="16" spans="1:20" s="53" customFormat="1">
      <c r="A16" s="59" t="s">
        <v>10</v>
      </c>
      <c r="B16" s="196" t="s">
        <v>178</v>
      </c>
      <c r="C16" s="232" t="s">
        <v>179</v>
      </c>
      <c r="D16" s="50" t="s">
        <v>47</v>
      </c>
      <c r="E16" s="47">
        <f>E12*0.5</f>
        <v>6.4</v>
      </c>
      <c r="F16" s="47"/>
      <c r="G16" s="47"/>
      <c r="H16" s="47"/>
      <c r="I16" s="47"/>
      <c r="J16" s="47"/>
      <c r="K16" s="47"/>
      <c r="L16" s="11"/>
      <c r="M16" s="11"/>
      <c r="N16" s="11"/>
      <c r="O16" s="11"/>
      <c r="P16" s="11"/>
      <c r="Q16" s="11"/>
      <c r="R16" s="11"/>
      <c r="S16" s="11"/>
      <c r="T16" s="11"/>
    </row>
    <row r="17" spans="1:20" s="53" customFormat="1">
      <c r="A17" s="59" t="s">
        <v>11</v>
      </c>
      <c r="B17" s="169" t="s">
        <v>493</v>
      </c>
      <c r="C17" s="232" t="s">
        <v>494</v>
      </c>
      <c r="D17" s="165" t="s">
        <v>29</v>
      </c>
      <c r="E17" s="117">
        <f>E12/1.5</f>
        <v>8.5333333333333332</v>
      </c>
      <c r="F17" s="117"/>
      <c r="G17" s="117"/>
      <c r="H17" s="117"/>
      <c r="I17" s="117"/>
      <c r="J17" s="117"/>
      <c r="K17" s="47"/>
      <c r="L17" s="11"/>
      <c r="M17" s="11"/>
      <c r="N17" s="11"/>
      <c r="O17" s="11"/>
      <c r="P17" s="11"/>
      <c r="Q17" s="11"/>
      <c r="R17" s="11"/>
      <c r="S17" s="11"/>
      <c r="T17" s="11"/>
    </row>
    <row r="18" spans="1:20" s="53" customFormat="1">
      <c r="A18" s="59" t="s">
        <v>442</v>
      </c>
      <c r="B18" s="367" t="s">
        <v>826</v>
      </c>
      <c r="C18" s="247" t="s">
        <v>827</v>
      </c>
      <c r="D18" s="213" t="s">
        <v>47</v>
      </c>
      <c r="E18" s="117">
        <v>3.36</v>
      </c>
      <c r="F18" s="117"/>
      <c r="G18" s="117"/>
      <c r="H18" s="117"/>
      <c r="I18" s="117"/>
      <c r="J18" s="117"/>
      <c r="K18" s="47"/>
      <c r="L18" s="11"/>
      <c r="M18" s="11"/>
      <c r="N18" s="11"/>
      <c r="O18" s="11"/>
      <c r="P18" s="11"/>
      <c r="Q18" s="11"/>
      <c r="R18" s="11"/>
      <c r="S18" s="11"/>
      <c r="T18" s="11"/>
    </row>
    <row r="19" spans="1:20" s="53" customFormat="1">
      <c r="A19" s="59" t="s">
        <v>443</v>
      </c>
      <c r="B19" s="367" t="s">
        <v>828</v>
      </c>
      <c r="C19" s="247" t="s">
        <v>829</v>
      </c>
      <c r="D19" s="334" t="s">
        <v>29</v>
      </c>
      <c r="E19" s="117">
        <v>5.6</v>
      </c>
      <c r="F19" s="117"/>
      <c r="G19" s="117"/>
      <c r="H19" s="117"/>
      <c r="I19" s="117"/>
      <c r="J19" s="117"/>
      <c r="K19" s="47"/>
      <c r="L19" s="11"/>
      <c r="M19" s="11"/>
      <c r="N19" s="11"/>
      <c r="O19" s="11"/>
      <c r="P19" s="11"/>
      <c r="Q19" s="11"/>
      <c r="R19" s="11"/>
      <c r="S19" s="11"/>
      <c r="T19" s="11"/>
    </row>
    <row r="20" spans="1:20" s="53" customFormat="1" ht="24.75">
      <c r="A20" s="59" t="s">
        <v>444</v>
      </c>
      <c r="B20" s="170">
        <v>72915</v>
      </c>
      <c r="C20" s="232" t="s">
        <v>492</v>
      </c>
      <c r="D20" s="165" t="s">
        <v>47</v>
      </c>
      <c r="E20" s="117">
        <f>(0.6*0.6*0.6)+(1.9*1.1*1.4)+((3.14*((1.2/2)*(1.2/2)))*5)</f>
        <v>8.7940000000000005</v>
      </c>
      <c r="F20" s="117"/>
      <c r="G20" s="117"/>
      <c r="H20" s="117"/>
      <c r="I20" s="117"/>
      <c r="J20" s="117"/>
      <c r="K20" s="47"/>
      <c r="L20" s="11"/>
      <c r="M20" s="11"/>
      <c r="N20" s="11"/>
      <c r="O20" s="11"/>
      <c r="P20" s="11"/>
      <c r="Q20" s="11"/>
      <c r="R20" s="11"/>
      <c r="S20" s="11"/>
      <c r="T20" s="11"/>
    </row>
    <row r="21" spans="1:20" s="155" customFormat="1" ht="14.25">
      <c r="A21" s="59" t="s">
        <v>445</v>
      </c>
      <c r="B21" s="170">
        <v>6430</v>
      </c>
      <c r="C21" s="232" t="s">
        <v>341</v>
      </c>
      <c r="D21" s="165" t="s">
        <v>47</v>
      </c>
      <c r="E21" s="117">
        <v>3</v>
      </c>
      <c r="F21" s="117"/>
      <c r="G21" s="117"/>
      <c r="H21" s="117"/>
      <c r="I21" s="117"/>
      <c r="J21" s="117"/>
      <c r="K21" s="47"/>
      <c r="L21" s="114"/>
      <c r="M21" s="114"/>
      <c r="N21" s="114"/>
      <c r="O21" s="114"/>
      <c r="P21" s="114"/>
      <c r="Q21" s="114"/>
      <c r="R21" s="114"/>
      <c r="S21" s="114"/>
      <c r="T21" s="114"/>
    </row>
    <row r="22" spans="1:20">
      <c r="A22" s="562" t="s">
        <v>16</v>
      </c>
      <c r="B22" s="562"/>
      <c r="C22" s="563"/>
      <c r="D22" s="563"/>
      <c r="E22" s="563"/>
      <c r="F22" s="563"/>
      <c r="G22" s="563"/>
      <c r="H22" s="563"/>
      <c r="I22" s="563"/>
      <c r="J22" s="22"/>
      <c r="K22" s="39"/>
      <c r="L22" s="11"/>
      <c r="M22" s="11"/>
      <c r="N22" s="11"/>
      <c r="O22" s="11"/>
      <c r="P22" s="11"/>
      <c r="Q22" s="11"/>
      <c r="R22" s="11"/>
      <c r="S22" s="11"/>
      <c r="T22" s="11"/>
    </row>
    <row r="23" spans="1:20">
      <c r="A23" s="60" t="s">
        <v>105</v>
      </c>
      <c r="B23" s="458" t="s">
        <v>106</v>
      </c>
      <c r="C23" s="459"/>
      <c r="D23" s="459"/>
      <c r="E23" s="459"/>
      <c r="F23" s="459"/>
      <c r="G23" s="459"/>
      <c r="H23" s="459"/>
      <c r="I23" s="459"/>
      <c r="J23" s="459"/>
      <c r="K23" s="473"/>
      <c r="L23" s="11"/>
      <c r="M23" s="11"/>
      <c r="N23" s="11"/>
      <c r="O23" s="11"/>
      <c r="P23" s="11"/>
      <c r="Q23" s="11"/>
      <c r="R23" s="11"/>
      <c r="S23" s="11"/>
      <c r="T23" s="11"/>
    </row>
    <row r="24" spans="1:20" s="53" customFormat="1">
      <c r="A24" s="48" t="s">
        <v>12</v>
      </c>
      <c r="B24" s="48"/>
      <c r="C24" s="234" t="s">
        <v>287</v>
      </c>
      <c r="D24" s="173" t="s">
        <v>29</v>
      </c>
      <c r="E24" s="172">
        <v>8.1999999999999993</v>
      </c>
      <c r="F24" s="172"/>
      <c r="G24" s="172"/>
      <c r="H24" s="172"/>
      <c r="I24" s="172"/>
      <c r="J24" s="172"/>
      <c r="K24" s="172"/>
      <c r="L24" s="11"/>
      <c r="M24" s="11"/>
      <c r="N24" s="11"/>
      <c r="O24" s="11"/>
      <c r="P24" s="11"/>
      <c r="Q24" s="11"/>
      <c r="R24" s="11"/>
      <c r="S24" s="11"/>
      <c r="T24" s="11"/>
    </row>
    <row r="25" spans="1:20" s="53" customFormat="1">
      <c r="A25" s="48" t="s">
        <v>13</v>
      </c>
      <c r="B25" s="125" t="s">
        <v>904</v>
      </c>
      <c r="C25" s="234" t="s">
        <v>871</v>
      </c>
      <c r="D25" s="173" t="s">
        <v>47</v>
      </c>
      <c r="E25" s="172">
        <v>1.9</v>
      </c>
      <c r="F25" s="172"/>
      <c r="G25" s="172"/>
      <c r="H25" s="172"/>
      <c r="I25" s="172"/>
      <c r="J25" s="172"/>
      <c r="K25" s="172"/>
      <c r="L25" s="11"/>
      <c r="M25" s="11"/>
      <c r="N25" s="11"/>
      <c r="O25" s="11"/>
      <c r="P25" s="11"/>
      <c r="Q25" s="11"/>
      <c r="R25" s="11"/>
      <c r="S25" s="11"/>
      <c r="T25" s="11"/>
    </row>
    <row r="26" spans="1:20" s="53" customFormat="1">
      <c r="A26" s="48" t="s">
        <v>285</v>
      </c>
      <c r="B26" s="125" t="s">
        <v>905</v>
      </c>
      <c r="C26" s="234" t="s">
        <v>872</v>
      </c>
      <c r="D26" s="173" t="s">
        <v>47</v>
      </c>
      <c r="E26" s="172">
        <v>1.9</v>
      </c>
      <c r="F26" s="172"/>
      <c r="G26" s="172"/>
      <c r="H26" s="172"/>
      <c r="I26" s="172"/>
      <c r="J26" s="172"/>
      <c r="K26" s="172"/>
      <c r="L26" s="11"/>
      <c r="M26" s="11"/>
      <c r="N26" s="11"/>
      <c r="O26" s="11"/>
      <c r="P26" s="11"/>
      <c r="Q26" s="11"/>
      <c r="R26" s="11"/>
      <c r="S26" s="11"/>
      <c r="T26" s="11"/>
    </row>
    <row r="27" spans="1:20" s="53" customFormat="1">
      <c r="A27" s="48" t="s">
        <v>286</v>
      </c>
      <c r="B27" s="125"/>
      <c r="C27" s="234" t="s">
        <v>873</v>
      </c>
      <c r="D27" s="173" t="s">
        <v>47</v>
      </c>
      <c r="E27" s="172">
        <v>0.28000000000000003</v>
      </c>
      <c r="F27" s="172"/>
      <c r="G27" s="172"/>
      <c r="H27" s="172"/>
      <c r="I27" s="172"/>
      <c r="J27" s="172"/>
      <c r="K27" s="172"/>
      <c r="L27" s="11"/>
      <c r="M27" s="11"/>
      <c r="N27" s="11"/>
      <c r="O27" s="11"/>
      <c r="P27" s="11"/>
      <c r="Q27" s="11"/>
      <c r="R27" s="11"/>
      <c r="S27" s="11"/>
      <c r="T27" s="11"/>
    </row>
    <row r="28" spans="1:20" s="53" customFormat="1">
      <c r="A28" s="48" t="s">
        <v>288</v>
      </c>
      <c r="B28" s="125"/>
      <c r="C28" s="234" t="s">
        <v>874</v>
      </c>
      <c r="D28" s="173" t="s">
        <v>47</v>
      </c>
      <c r="E28" s="172">
        <v>0.56000000000000005</v>
      </c>
      <c r="F28" s="172"/>
      <c r="G28" s="172"/>
      <c r="H28" s="172"/>
      <c r="I28" s="172"/>
      <c r="J28" s="172"/>
      <c r="K28" s="172"/>
      <c r="L28" s="11"/>
      <c r="M28" s="11"/>
      <c r="N28" s="11"/>
      <c r="O28" s="11"/>
      <c r="P28" s="11"/>
      <c r="Q28" s="11"/>
      <c r="R28" s="11"/>
      <c r="S28" s="11"/>
      <c r="T28" s="11"/>
    </row>
    <row r="29" spans="1:20" s="53" customFormat="1">
      <c r="A29" s="48" t="s">
        <v>450</v>
      </c>
      <c r="B29" s="125" t="s">
        <v>905</v>
      </c>
      <c r="C29" s="234" t="s">
        <v>875</v>
      </c>
      <c r="D29" s="173" t="s">
        <v>47</v>
      </c>
      <c r="E29" s="172">
        <v>0.56000000000000005</v>
      </c>
      <c r="F29" s="172"/>
      <c r="G29" s="172"/>
      <c r="H29" s="172"/>
      <c r="I29" s="172"/>
      <c r="J29" s="172"/>
      <c r="K29" s="172"/>
      <c r="L29" s="11"/>
      <c r="M29" s="11"/>
      <c r="N29" s="11"/>
      <c r="O29" s="11"/>
      <c r="P29" s="11"/>
      <c r="Q29" s="11"/>
      <c r="R29" s="11"/>
      <c r="S29" s="11"/>
      <c r="T29" s="11"/>
    </row>
    <row r="30" spans="1:20" s="53" customFormat="1">
      <c r="A30" s="48" t="s">
        <v>451</v>
      </c>
      <c r="B30" s="125"/>
      <c r="C30" s="234" t="s">
        <v>876</v>
      </c>
      <c r="D30" s="173" t="s">
        <v>29</v>
      </c>
      <c r="E30" s="172">
        <v>4.2</v>
      </c>
      <c r="F30" s="172"/>
      <c r="G30" s="172"/>
      <c r="H30" s="172"/>
      <c r="I30" s="172"/>
      <c r="J30" s="172"/>
      <c r="K30" s="172"/>
      <c r="L30" s="11"/>
      <c r="M30" s="11"/>
      <c r="N30" s="11"/>
      <c r="O30" s="11"/>
      <c r="P30" s="11"/>
      <c r="Q30" s="11"/>
      <c r="R30" s="11"/>
      <c r="S30" s="11"/>
      <c r="T30" s="11"/>
    </row>
    <row r="31" spans="1:20" s="53" customFormat="1" ht="24">
      <c r="A31" s="48" t="s">
        <v>452</v>
      </c>
      <c r="B31" s="415" t="s">
        <v>907</v>
      </c>
      <c r="C31" s="416" t="s">
        <v>877</v>
      </c>
      <c r="D31" s="173" t="s">
        <v>890</v>
      </c>
      <c r="E31" s="172">
        <v>78.900000000000006</v>
      </c>
      <c r="F31" s="172"/>
      <c r="G31" s="172"/>
      <c r="H31" s="172"/>
      <c r="I31" s="172"/>
      <c r="J31" s="172"/>
      <c r="K31" s="172"/>
      <c r="L31" s="11"/>
      <c r="M31" s="11"/>
      <c r="N31" s="11"/>
      <c r="O31" s="11"/>
      <c r="P31" s="11"/>
      <c r="Q31" s="11"/>
      <c r="R31" s="11"/>
      <c r="S31" s="11"/>
      <c r="T31" s="11"/>
    </row>
    <row r="32" spans="1:20">
      <c r="A32" s="479" t="s">
        <v>17</v>
      </c>
      <c r="B32" s="480"/>
      <c r="C32" s="480"/>
      <c r="D32" s="480"/>
      <c r="E32" s="480"/>
      <c r="F32" s="480"/>
      <c r="G32" s="480"/>
      <c r="H32" s="480"/>
      <c r="I32" s="481"/>
      <c r="J32" s="22"/>
      <c r="K32" s="22"/>
      <c r="L32" s="77"/>
      <c r="M32" s="11"/>
      <c r="N32" s="11"/>
      <c r="O32" s="11"/>
      <c r="P32" s="11"/>
      <c r="Q32" s="11"/>
      <c r="R32" s="11"/>
      <c r="S32" s="11"/>
      <c r="T32" s="11"/>
    </row>
    <row r="33" spans="1:22" s="74" customFormat="1">
      <c r="A33" s="70" t="s">
        <v>33</v>
      </c>
      <c r="B33" s="477" t="s">
        <v>107</v>
      </c>
      <c r="C33" s="478"/>
      <c r="D33" s="478"/>
      <c r="E33" s="478"/>
      <c r="F33" s="478"/>
      <c r="G33" s="478"/>
      <c r="H33" s="478"/>
      <c r="I33" s="478"/>
      <c r="J33" s="478"/>
      <c r="K33" s="478"/>
      <c r="L33" s="78"/>
      <c r="M33" s="73"/>
      <c r="N33" s="73"/>
      <c r="O33" s="73"/>
      <c r="P33" s="73"/>
      <c r="Q33" s="73"/>
      <c r="R33" s="73"/>
      <c r="S33" s="73"/>
      <c r="T33" s="73"/>
      <c r="U33" s="73"/>
      <c r="V33" s="73"/>
    </row>
    <row r="34" spans="1:22" s="81" customFormat="1">
      <c r="A34" s="80" t="s">
        <v>34</v>
      </c>
      <c r="B34" s="80"/>
      <c r="C34" s="333" t="s">
        <v>844</v>
      </c>
      <c r="D34" s="334" t="s">
        <v>47</v>
      </c>
      <c r="E34" s="172">
        <f>0.03+0.08</f>
        <v>0.11</v>
      </c>
      <c r="F34" s="176"/>
      <c r="G34" s="176"/>
      <c r="H34" s="176"/>
      <c r="I34" s="176"/>
      <c r="J34" s="176"/>
      <c r="K34" s="172"/>
      <c r="L34" s="78"/>
      <c r="M34" s="73"/>
      <c r="N34" s="73"/>
      <c r="O34" s="73"/>
      <c r="P34" s="73"/>
      <c r="Q34" s="73"/>
      <c r="R34" s="73"/>
      <c r="S34" s="73"/>
      <c r="T34" s="73"/>
      <c r="U34" s="73"/>
      <c r="V34" s="73"/>
    </row>
    <row r="35" spans="1:22" s="81" customFormat="1">
      <c r="A35" s="80" t="s">
        <v>108</v>
      </c>
      <c r="B35" s="197" t="s">
        <v>203</v>
      </c>
      <c r="C35" s="175" t="s">
        <v>541</v>
      </c>
      <c r="D35" s="173" t="s">
        <v>29</v>
      </c>
      <c r="E35" s="288">
        <f>0.84*1.6</f>
        <v>1.3440000000000001</v>
      </c>
      <c r="F35" s="176"/>
      <c r="G35" s="176"/>
      <c r="H35" s="176"/>
      <c r="I35" s="176"/>
      <c r="J35" s="176"/>
      <c r="K35" s="172"/>
      <c r="L35" s="78"/>
      <c r="M35" s="73"/>
      <c r="N35" s="73"/>
      <c r="O35" s="73"/>
      <c r="P35" s="73"/>
      <c r="Q35" s="73"/>
      <c r="R35" s="73"/>
      <c r="S35" s="73"/>
      <c r="T35" s="73"/>
      <c r="U35" s="73"/>
      <c r="V35" s="73"/>
    </row>
    <row r="36" spans="1:22" s="81" customFormat="1" ht="24.75">
      <c r="A36" s="80" t="s">
        <v>35</v>
      </c>
      <c r="B36" s="414"/>
      <c r="C36" s="418" t="s">
        <v>878</v>
      </c>
      <c r="D36" s="334" t="s">
        <v>29</v>
      </c>
      <c r="E36" s="417">
        <v>37</v>
      </c>
      <c r="F36" s="408"/>
      <c r="G36" s="408"/>
      <c r="H36" s="408"/>
      <c r="I36" s="408"/>
      <c r="J36" s="409"/>
      <c r="K36" s="410"/>
      <c r="L36" s="78"/>
      <c r="M36" s="73"/>
      <c r="N36" s="73"/>
      <c r="O36" s="73"/>
      <c r="P36" s="73"/>
      <c r="Q36" s="73"/>
      <c r="R36" s="73"/>
      <c r="S36" s="73"/>
      <c r="T36" s="73"/>
      <c r="U36" s="73"/>
      <c r="V36" s="73"/>
    </row>
    <row r="37" spans="1:22" s="81" customFormat="1" ht="24.75">
      <c r="A37" s="80" t="s">
        <v>36</v>
      </c>
      <c r="B37" s="414"/>
      <c r="C37" s="418" t="s">
        <v>879</v>
      </c>
      <c r="D37" s="334" t="s">
        <v>29</v>
      </c>
      <c r="E37" s="417">
        <v>34.700000000000003</v>
      </c>
      <c r="F37" s="408"/>
      <c r="G37" s="408"/>
      <c r="H37" s="408"/>
      <c r="I37" s="408"/>
      <c r="J37" s="409"/>
      <c r="K37" s="410"/>
      <c r="L37" s="78"/>
      <c r="M37" s="73"/>
      <c r="N37" s="73"/>
      <c r="O37" s="73"/>
      <c r="P37" s="73"/>
      <c r="Q37" s="73"/>
      <c r="R37" s="73"/>
      <c r="S37" s="73"/>
      <c r="T37" s="73"/>
      <c r="U37" s="73"/>
      <c r="V37" s="73"/>
    </row>
    <row r="38" spans="1:22" s="81" customFormat="1">
      <c r="A38" s="80" t="s">
        <v>37</v>
      </c>
      <c r="B38" s="125" t="s">
        <v>904</v>
      </c>
      <c r="C38" s="333" t="s">
        <v>880</v>
      </c>
      <c r="D38" s="334" t="s">
        <v>47</v>
      </c>
      <c r="E38" s="417">
        <v>2.2000000000000002</v>
      </c>
      <c r="F38" s="408"/>
      <c r="G38" s="408"/>
      <c r="H38" s="408"/>
      <c r="I38" s="408"/>
      <c r="J38" s="409"/>
      <c r="K38" s="410"/>
      <c r="L38" s="78"/>
      <c r="M38" s="73"/>
      <c r="N38" s="73"/>
      <c r="O38" s="73"/>
      <c r="P38" s="73"/>
      <c r="Q38" s="73"/>
      <c r="R38" s="73"/>
      <c r="S38" s="73"/>
      <c r="T38" s="73"/>
      <c r="U38" s="73"/>
      <c r="V38" s="73"/>
    </row>
    <row r="39" spans="1:22" s="81" customFormat="1">
      <c r="A39" s="80" t="s">
        <v>454</v>
      </c>
      <c r="B39" s="414" t="s">
        <v>906</v>
      </c>
      <c r="C39" s="333" t="s">
        <v>881</v>
      </c>
      <c r="D39" s="334" t="s">
        <v>47</v>
      </c>
      <c r="E39" s="417"/>
      <c r="F39" s="408"/>
      <c r="G39" s="408"/>
      <c r="H39" s="408"/>
      <c r="I39" s="408"/>
      <c r="J39" s="409"/>
      <c r="K39" s="410"/>
      <c r="L39" s="78"/>
      <c r="M39" s="73"/>
      <c r="N39" s="73"/>
      <c r="O39" s="73"/>
      <c r="P39" s="73"/>
      <c r="Q39" s="73"/>
      <c r="R39" s="73"/>
      <c r="S39" s="73"/>
      <c r="T39" s="73"/>
      <c r="U39" s="73"/>
      <c r="V39" s="73"/>
    </row>
    <row r="40" spans="1:22" s="81" customFormat="1">
      <c r="A40" s="80" t="s">
        <v>455</v>
      </c>
      <c r="B40" s="125" t="s">
        <v>904</v>
      </c>
      <c r="C40" s="333" t="s">
        <v>882</v>
      </c>
      <c r="D40" s="334" t="s">
        <v>47</v>
      </c>
      <c r="E40" s="417">
        <v>2.2000000000000002</v>
      </c>
      <c r="F40" s="408"/>
      <c r="G40" s="408"/>
      <c r="H40" s="408"/>
      <c r="I40" s="408"/>
      <c r="J40" s="409"/>
      <c r="K40" s="410"/>
      <c r="L40" s="78"/>
      <c r="M40" s="73"/>
      <c r="N40" s="73"/>
      <c r="O40" s="73"/>
      <c r="P40" s="73"/>
      <c r="Q40" s="73"/>
      <c r="R40" s="73"/>
      <c r="S40" s="73"/>
      <c r="T40" s="73"/>
      <c r="U40" s="73"/>
      <c r="V40" s="73"/>
    </row>
    <row r="41" spans="1:22" s="81" customFormat="1">
      <c r="A41" s="80" t="s">
        <v>456</v>
      </c>
      <c r="B41" s="414" t="s">
        <v>906</v>
      </c>
      <c r="C41" s="333" t="s">
        <v>883</v>
      </c>
      <c r="D41" s="334" t="s">
        <v>47</v>
      </c>
      <c r="E41" s="417"/>
      <c r="F41" s="408"/>
      <c r="G41" s="408"/>
      <c r="H41" s="408"/>
      <c r="I41" s="408"/>
      <c r="J41" s="409"/>
      <c r="K41" s="410"/>
      <c r="L41" s="78"/>
      <c r="M41" s="73"/>
      <c r="N41" s="73"/>
      <c r="O41" s="73"/>
      <c r="P41" s="73"/>
      <c r="Q41" s="73"/>
      <c r="R41" s="73"/>
      <c r="S41" s="73"/>
      <c r="T41" s="73"/>
      <c r="U41" s="73"/>
      <c r="V41" s="73"/>
    </row>
    <row r="42" spans="1:22" s="81" customFormat="1" ht="24">
      <c r="A42" s="80" t="s">
        <v>557</v>
      </c>
      <c r="B42" s="415" t="s">
        <v>907</v>
      </c>
      <c r="C42" s="333" t="s">
        <v>884</v>
      </c>
      <c r="D42" s="334" t="s">
        <v>890</v>
      </c>
      <c r="E42" s="417">
        <v>227.6</v>
      </c>
      <c r="F42" s="408"/>
      <c r="G42" s="408"/>
      <c r="H42" s="408"/>
      <c r="I42" s="408"/>
      <c r="J42" s="409"/>
      <c r="K42" s="410"/>
      <c r="L42" s="78"/>
      <c r="M42" s="73"/>
      <c r="N42" s="73"/>
      <c r="O42" s="73"/>
      <c r="P42" s="73"/>
      <c r="Q42" s="73"/>
      <c r="R42" s="73"/>
      <c r="S42" s="73"/>
      <c r="T42" s="73"/>
      <c r="U42" s="73"/>
      <c r="V42" s="73"/>
    </row>
    <row r="43" spans="1:22" s="81" customFormat="1">
      <c r="A43" s="80" t="s">
        <v>558</v>
      </c>
      <c r="B43" s="125" t="s">
        <v>832</v>
      </c>
      <c r="C43" s="333" t="s">
        <v>885</v>
      </c>
      <c r="D43" s="334" t="s">
        <v>890</v>
      </c>
      <c r="E43" s="417">
        <v>43.5</v>
      </c>
      <c r="F43" s="408"/>
      <c r="G43" s="408"/>
      <c r="H43" s="408"/>
      <c r="I43" s="408"/>
      <c r="J43" s="409"/>
      <c r="K43" s="410"/>
      <c r="L43" s="78"/>
      <c r="M43" s="73"/>
      <c r="N43" s="73"/>
      <c r="O43" s="73"/>
      <c r="P43" s="73"/>
      <c r="Q43" s="73"/>
      <c r="R43" s="73"/>
      <c r="S43" s="73"/>
      <c r="T43" s="73"/>
      <c r="U43" s="73"/>
      <c r="V43" s="73"/>
    </row>
    <row r="44" spans="1:22" s="81" customFormat="1" ht="24">
      <c r="A44" s="80" t="s">
        <v>893</v>
      </c>
      <c r="B44" s="415" t="s">
        <v>907</v>
      </c>
      <c r="C44" s="333" t="s">
        <v>886</v>
      </c>
      <c r="D44" s="334" t="s">
        <v>890</v>
      </c>
      <c r="E44" s="417">
        <v>70.099999999999994</v>
      </c>
      <c r="F44" s="408"/>
      <c r="G44" s="408"/>
      <c r="H44" s="408"/>
      <c r="I44" s="408"/>
      <c r="J44" s="409"/>
      <c r="K44" s="410"/>
      <c r="L44" s="78"/>
      <c r="M44" s="73"/>
      <c r="N44" s="73"/>
      <c r="O44" s="73"/>
      <c r="P44" s="73"/>
      <c r="Q44" s="73"/>
      <c r="R44" s="73"/>
      <c r="S44" s="73"/>
      <c r="T44" s="73"/>
      <c r="U44" s="73"/>
      <c r="V44" s="73"/>
    </row>
    <row r="45" spans="1:22" s="81" customFormat="1">
      <c r="A45" s="80" t="s">
        <v>894</v>
      </c>
      <c r="B45" s="125" t="s">
        <v>832</v>
      </c>
      <c r="C45" s="333" t="s">
        <v>887</v>
      </c>
      <c r="D45" s="334" t="s">
        <v>890</v>
      </c>
      <c r="E45" s="417">
        <v>31.4</v>
      </c>
      <c r="F45" s="408"/>
      <c r="G45" s="408"/>
      <c r="H45" s="408"/>
      <c r="I45" s="408"/>
      <c r="J45" s="409"/>
      <c r="K45" s="410"/>
      <c r="L45" s="78"/>
      <c r="M45" s="73"/>
      <c r="N45" s="73"/>
      <c r="O45" s="73"/>
      <c r="P45" s="73"/>
      <c r="Q45" s="73"/>
      <c r="R45" s="73"/>
      <c r="S45" s="73"/>
      <c r="T45" s="73"/>
      <c r="U45" s="73"/>
      <c r="V45" s="73"/>
    </row>
    <row r="46" spans="1:22" s="81" customFormat="1" ht="36.75">
      <c r="A46" s="80" t="s">
        <v>895</v>
      </c>
      <c r="B46" s="414"/>
      <c r="C46" s="418" t="s">
        <v>927</v>
      </c>
      <c r="D46" s="334" t="s">
        <v>29</v>
      </c>
      <c r="E46" s="417">
        <v>11.2</v>
      </c>
      <c r="F46" s="408"/>
      <c r="G46" s="408"/>
      <c r="H46" s="408"/>
      <c r="I46" s="408"/>
      <c r="J46" s="409"/>
      <c r="K46" s="410"/>
      <c r="L46" s="78"/>
      <c r="M46" s="73"/>
      <c r="N46" s="73"/>
      <c r="O46" s="73"/>
      <c r="P46" s="73"/>
      <c r="Q46" s="73"/>
      <c r="R46" s="73"/>
      <c r="S46" s="73"/>
      <c r="T46" s="73"/>
      <c r="U46" s="73"/>
      <c r="V46" s="73"/>
    </row>
    <row r="47" spans="1:22" s="81" customFormat="1">
      <c r="A47" s="80" t="s">
        <v>896</v>
      </c>
      <c r="B47" s="414"/>
      <c r="C47" s="333" t="s">
        <v>908</v>
      </c>
      <c r="D47" s="334" t="s">
        <v>27</v>
      </c>
      <c r="E47" s="417">
        <v>150</v>
      </c>
      <c r="F47" s="408"/>
      <c r="G47" s="408"/>
      <c r="H47" s="408"/>
      <c r="I47" s="408"/>
      <c r="J47" s="409"/>
      <c r="K47" s="410"/>
      <c r="L47" s="78"/>
      <c r="M47" s="73"/>
      <c r="N47" s="73"/>
      <c r="O47" s="73"/>
      <c r="P47" s="73"/>
      <c r="Q47" s="73"/>
      <c r="R47" s="73"/>
      <c r="S47" s="73"/>
      <c r="T47" s="73"/>
      <c r="U47" s="73"/>
      <c r="V47" s="73"/>
    </row>
    <row r="48" spans="1:22" s="81" customFormat="1">
      <c r="A48" s="80" t="s">
        <v>897</v>
      </c>
      <c r="B48" s="125" t="s">
        <v>904</v>
      </c>
      <c r="C48" s="333" t="s">
        <v>911</v>
      </c>
      <c r="D48" s="334" t="s">
        <v>47</v>
      </c>
      <c r="E48" s="417">
        <v>1</v>
      </c>
      <c r="F48" s="408"/>
      <c r="G48" s="408"/>
      <c r="H48" s="408"/>
      <c r="I48" s="408"/>
      <c r="J48" s="409"/>
      <c r="K48" s="410"/>
      <c r="L48" s="78"/>
      <c r="M48" s="73"/>
      <c r="N48" s="73"/>
      <c r="O48" s="73"/>
      <c r="P48" s="73"/>
      <c r="Q48" s="73"/>
      <c r="R48" s="73"/>
      <c r="S48" s="73"/>
      <c r="T48" s="73"/>
      <c r="U48" s="73"/>
      <c r="V48" s="73"/>
    </row>
    <row r="49" spans="1:22" s="81" customFormat="1">
      <c r="A49" s="80" t="s">
        <v>898</v>
      </c>
      <c r="B49" s="414" t="s">
        <v>906</v>
      </c>
      <c r="C49" s="333" t="s">
        <v>888</v>
      </c>
      <c r="D49" s="334" t="s">
        <v>47</v>
      </c>
      <c r="E49" s="417">
        <v>1</v>
      </c>
      <c r="F49" s="408"/>
      <c r="G49" s="408"/>
      <c r="H49" s="408"/>
      <c r="I49" s="408"/>
      <c r="J49" s="409"/>
      <c r="K49" s="410"/>
      <c r="L49" s="78"/>
      <c r="M49" s="73"/>
      <c r="N49" s="73"/>
      <c r="O49" s="73"/>
      <c r="P49" s="73"/>
      <c r="Q49" s="73"/>
      <c r="R49" s="73"/>
      <c r="S49" s="73"/>
      <c r="T49" s="73"/>
      <c r="U49" s="73"/>
      <c r="V49" s="73"/>
    </row>
    <row r="50" spans="1:22" s="81" customFormat="1">
      <c r="A50" s="566" t="s">
        <v>18</v>
      </c>
      <c r="B50" s="566"/>
      <c r="C50" s="567"/>
      <c r="D50" s="567"/>
      <c r="E50" s="567"/>
      <c r="F50" s="567"/>
      <c r="G50" s="567"/>
      <c r="H50" s="567"/>
      <c r="I50" s="567"/>
      <c r="J50" s="424"/>
      <c r="K50" s="424"/>
      <c r="L50" s="79"/>
      <c r="M50" s="73"/>
      <c r="N50" s="73"/>
      <c r="O50" s="73"/>
      <c r="P50" s="73"/>
      <c r="Q50" s="73"/>
      <c r="R50" s="73"/>
      <c r="S50" s="73"/>
      <c r="T50" s="73"/>
      <c r="U50" s="73"/>
      <c r="V50" s="73"/>
    </row>
    <row r="51" spans="1:22" s="81" customFormat="1">
      <c r="A51" s="80" t="s">
        <v>38</v>
      </c>
      <c r="B51" s="456" t="s">
        <v>180</v>
      </c>
      <c r="C51" s="457"/>
      <c r="D51" s="457"/>
      <c r="E51" s="457"/>
      <c r="F51" s="457"/>
      <c r="G51" s="457"/>
      <c r="H51" s="457"/>
      <c r="I51" s="457"/>
      <c r="J51" s="457"/>
      <c r="K51" s="485"/>
      <c r="L51" s="78"/>
      <c r="M51" s="73"/>
      <c r="N51" s="73"/>
      <c r="O51" s="73"/>
      <c r="P51" s="73"/>
      <c r="Q51" s="73"/>
      <c r="R51" s="73"/>
      <c r="S51" s="73"/>
      <c r="T51" s="73"/>
      <c r="U51" s="73"/>
      <c r="V51" s="73"/>
    </row>
    <row r="52" spans="1:22" s="53" customFormat="1" ht="24.75">
      <c r="A52" s="48" t="s">
        <v>39</v>
      </c>
      <c r="B52" s="195" t="s">
        <v>181</v>
      </c>
      <c r="C52" s="58" t="s">
        <v>182</v>
      </c>
      <c r="D52" s="50" t="s">
        <v>29</v>
      </c>
      <c r="E52" s="47">
        <f>(6.6*(0.8*2))+(0.55*4.8)</f>
        <v>13.200000000000001</v>
      </c>
      <c r="F52" s="47"/>
      <c r="G52" s="47"/>
      <c r="H52" s="47"/>
      <c r="I52" s="47"/>
      <c r="J52" s="47"/>
      <c r="K52" s="82"/>
      <c r="L52" s="77"/>
      <c r="M52" s="11"/>
      <c r="N52" s="11"/>
      <c r="O52" s="11"/>
      <c r="P52" s="11"/>
      <c r="Q52" s="11"/>
      <c r="R52" s="11"/>
      <c r="S52" s="11"/>
      <c r="T52" s="11"/>
    </row>
    <row r="53" spans="1:22" s="53" customFormat="1" ht="24.75">
      <c r="A53" s="48" t="s">
        <v>40</v>
      </c>
      <c r="B53" s="195" t="s">
        <v>183</v>
      </c>
      <c r="C53" s="58" t="s">
        <v>184</v>
      </c>
      <c r="D53" s="50" t="s">
        <v>29</v>
      </c>
      <c r="E53" s="47">
        <f>(3.85*8)+(2.55*8)</f>
        <v>51.2</v>
      </c>
      <c r="F53" s="47"/>
      <c r="G53" s="47"/>
      <c r="H53" s="47"/>
      <c r="I53" s="47"/>
      <c r="J53" s="47"/>
      <c r="K53" s="47"/>
      <c r="L53" s="11"/>
      <c r="M53" s="11"/>
      <c r="N53" s="11"/>
      <c r="O53" s="11"/>
      <c r="P53" s="11"/>
      <c r="Q53" s="11"/>
      <c r="R53" s="11"/>
      <c r="S53" s="11"/>
      <c r="T53" s="11"/>
    </row>
    <row r="54" spans="1:22" s="53" customFormat="1" ht="24.95" customHeight="1">
      <c r="A54" s="48" t="s">
        <v>41</v>
      </c>
      <c r="B54" s="195" t="s">
        <v>185</v>
      </c>
      <c r="C54" s="58" t="s">
        <v>186</v>
      </c>
      <c r="D54" s="50" t="s">
        <v>47</v>
      </c>
      <c r="E54" s="47">
        <f>(0.2*0.1)*((2*1.3)+(5*1.1*2)+(1*5.4))</f>
        <v>0.38000000000000006</v>
      </c>
      <c r="F54" s="47"/>
      <c r="G54" s="47"/>
      <c r="H54" s="47"/>
      <c r="I54" s="47"/>
      <c r="J54" s="47"/>
      <c r="K54" s="47"/>
      <c r="L54" s="11"/>
      <c r="M54" s="11"/>
      <c r="N54" s="11"/>
      <c r="O54" s="11"/>
      <c r="P54" s="11"/>
      <c r="Q54" s="11"/>
      <c r="R54" s="11"/>
      <c r="S54" s="11"/>
      <c r="T54" s="11"/>
    </row>
    <row r="55" spans="1:22" s="74" customFormat="1">
      <c r="A55" s="496" t="s">
        <v>73</v>
      </c>
      <c r="B55" s="496"/>
      <c r="C55" s="497"/>
      <c r="D55" s="497"/>
      <c r="E55" s="497"/>
      <c r="F55" s="497"/>
      <c r="G55" s="497"/>
      <c r="H55" s="497"/>
      <c r="I55" s="497"/>
      <c r="J55" s="22"/>
      <c r="K55" s="22"/>
      <c r="L55" s="79"/>
      <c r="M55" s="73"/>
      <c r="N55" s="73"/>
      <c r="O55" s="73"/>
      <c r="P55" s="73"/>
      <c r="Q55" s="73"/>
      <c r="R55" s="73"/>
      <c r="S55" s="73"/>
      <c r="T55" s="73"/>
      <c r="U55" s="73"/>
      <c r="V55" s="73"/>
    </row>
    <row r="56" spans="1:22" s="53" customFormat="1" ht="15.75" customHeight="1">
      <c r="A56" s="60" t="s">
        <v>68</v>
      </c>
      <c r="B56" s="458" t="s">
        <v>104</v>
      </c>
      <c r="C56" s="459"/>
      <c r="D56" s="459"/>
      <c r="E56" s="459"/>
      <c r="F56" s="459"/>
      <c r="G56" s="459"/>
      <c r="H56" s="459"/>
      <c r="I56" s="459"/>
      <c r="J56" s="459"/>
      <c r="K56" s="473"/>
      <c r="L56" s="77"/>
      <c r="M56" s="11"/>
      <c r="N56" s="11"/>
      <c r="O56" s="11"/>
      <c r="P56" s="11"/>
      <c r="Q56" s="11"/>
      <c r="R56" s="11"/>
      <c r="S56" s="11"/>
      <c r="T56" s="11"/>
    </row>
    <row r="57" spans="1:22" s="53" customFormat="1" ht="15.75" customHeight="1">
      <c r="A57" s="198" t="s">
        <v>69</v>
      </c>
      <c r="B57" s="199" t="s">
        <v>191</v>
      </c>
      <c r="C57" s="49" t="s">
        <v>192</v>
      </c>
      <c r="D57" s="50" t="s">
        <v>29</v>
      </c>
      <c r="E57" s="54">
        <f>0.9*5.4</f>
        <v>4.8600000000000003</v>
      </c>
      <c r="F57" s="54"/>
      <c r="G57" s="54"/>
      <c r="H57" s="54"/>
      <c r="I57" s="54"/>
      <c r="J57" s="54"/>
      <c r="K57" s="47"/>
      <c r="L57" s="11"/>
      <c r="M57" s="11"/>
      <c r="N57" s="11"/>
      <c r="O57" s="11"/>
      <c r="P57" s="11"/>
      <c r="Q57" s="11"/>
      <c r="R57" s="11"/>
      <c r="S57" s="11"/>
      <c r="T57" s="11"/>
    </row>
    <row r="58" spans="1:22" s="53" customFormat="1" ht="15.75" customHeight="1">
      <c r="A58" s="198" t="s">
        <v>70</v>
      </c>
      <c r="B58" s="246" t="s">
        <v>543</v>
      </c>
      <c r="C58" s="49" t="s">
        <v>544</v>
      </c>
      <c r="D58" s="50" t="s">
        <v>28</v>
      </c>
      <c r="E58" s="54">
        <v>6.58</v>
      </c>
      <c r="F58" s="54"/>
      <c r="G58" s="54"/>
      <c r="H58" s="54"/>
      <c r="I58" s="54"/>
      <c r="J58" s="54"/>
      <c r="K58" s="47"/>
      <c r="L58" s="11"/>
      <c r="M58" s="11"/>
      <c r="N58" s="11"/>
      <c r="O58" s="11"/>
      <c r="P58" s="11"/>
      <c r="Q58" s="11"/>
      <c r="R58" s="11"/>
      <c r="S58" s="11"/>
      <c r="T58" s="11"/>
    </row>
    <row r="59" spans="1:22" s="53" customFormat="1" ht="15.75" customHeight="1">
      <c r="A59" s="198" t="s">
        <v>71</v>
      </c>
      <c r="B59" s="182" t="s">
        <v>524</v>
      </c>
      <c r="C59" s="164" t="s">
        <v>525</v>
      </c>
      <c r="D59" s="165" t="s">
        <v>28</v>
      </c>
      <c r="E59" s="54">
        <v>1.75</v>
      </c>
      <c r="F59" s="54"/>
      <c r="G59" s="54"/>
      <c r="H59" s="54"/>
      <c r="I59" s="54"/>
      <c r="J59" s="54"/>
      <c r="K59" s="47"/>
      <c r="L59" s="11"/>
      <c r="M59" s="11"/>
      <c r="N59" s="11"/>
      <c r="O59" s="11"/>
      <c r="P59" s="11"/>
      <c r="Q59" s="11"/>
      <c r="R59" s="11"/>
      <c r="S59" s="11"/>
      <c r="T59" s="11"/>
    </row>
    <row r="60" spans="1:22" s="53" customFormat="1" ht="24.75">
      <c r="A60" s="198" t="s">
        <v>72</v>
      </c>
      <c r="B60" s="182" t="s">
        <v>266</v>
      </c>
      <c r="C60" s="167" t="s">
        <v>726</v>
      </c>
      <c r="D60" s="165" t="s">
        <v>27</v>
      </c>
      <c r="E60" s="54">
        <v>1</v>
      </c>
      <c r="F60" s="54"/>
      <c r="G60" s="54"/>
      <c r="H60" s="54"/>
      <c r="I60" s="54"/>
      <c r="J60" s="54"/>
      <c r="K60" s="47"/>
      <c r="L60" s="11"/>
      <c r="M60" s="11"/>
      <c r="N60" s="11"/>
      <c r="O60" s="11"/>
      <c r="P60" s="11"/>
      <c r="Q60" s="11"/>
      <c r="R60" s="11"/>
      <c r="S60" s="11"/>
      <c r="T60" s="11"/>
    </row>
    <row r="61" spans="1:22" s="53" customFormat="1" ht="24.75">
      <c r="A61" s="198" t="s">
        <v>74</v>
      </c>
      <c r="B61" s="195" t="s">
        <v>242</v>
      </c>
      <c r="C61" s="58" t="s">
        <v>243</v>
      </c>
      <c r="D61" s="50" t="s">
        <v>27</v>
      </c>
      <c r="E61" s="54">
        <v>2</v>
      </c>
      <c r="F61" s="54"/>
      <c r="G61" s="54"/>
      <c r="H61" s="54"/>
      <c r="I61" s="54"/>
      <c r="J61" s="54"/>
      <c r="K61" s="47"/>
      <c r="L61" s="11"/>
      <c r="M61" s="11"/>
      <c r="N61" s="11"/>
      <c r="O61" s="11"/>
      <c r="P61" s="11"/>
      <c r="Q61" s="11"/>
      <c r="R61" s="11"/>
      <c r="S61" s="11"/>
      <c r="T61" s="11"/>
    </row>
    <row r="62" spans="1:22" s="53" customFormat="1">
      <c r="A62" s="198" t="s">
        <v>75</v>
      </c>
      <c r="B62" s="180" t="s">
        <v>247</v>
      </c>
      <c r="C62" s="58" t="s">
        <v>515</v>
      </c>
      <c r="D62" s="50" t="s">
        <v>27</v>
      </c>
      <c r="E62" s="47">
        <v>1</v>
      </c>
      <c r="F62" s="54"/>
      <c r="G62" s="54"/>
      <c r="H62" s="54"/>
      <c r="I62" s="54"/>
      <c r="J62" s="54"/>
      <c r="K62" s="47"/>
      <c r="L62" s="11"/>
      <c r="M62" s="11"/>
      <c r="N62" s="11"/>
      <c r="O62" s="11"/>
      <c r="P62" s="11"/>
      <c r="Q62" s="11"/>
      <c r="R62" s="11"/>
      <c r="S62" s="11"/>
      <c r="T62" s="11"/>
    </row>
    <row r="63" spans="1:22" s="53" customFormat="1" ht="15.75" customHeight="1">
      <c r="A63" s="479" t="s">
        <v>43</v>
      </c>
      <c r="B63" s="480"/>
      <c r="C63" s="480"/>
      <c r="D63" s="480"/>
      <c r="E63" s="480"/>
      <c r="F63" s="480"/>
      <c r="G63" s="480"/>
      <c r="H63" s="480"/>
      <c r="I63" s="481"/>
      <c r="J63" s="23"/>
      <c r="K63" s="23"/>
      <c r="L63" s="77"/>
      <c r="M63" s="11"/>
      <c r="N63" s="11"/>
      <c r="O63" s="11"/>
      <c r="P63" s="11"/>
      <c r="Q63" s="11"/>
      <c r="R63" s="11"/>
      <c r="S63" s="11"/>
      <c r="T63" s="11"/>
    </row>
    <row r="64" spans="1:22" s="74" customFormat="1">
      <c r="A64" s="70" t="s">
        <v>44</v>
      </c>
      <c r="B64" s="448" t="s">
        <v>109</v>
      </c>
      <c r="C64" s="449"/>
      <c r="D64" s="449"/>
      <c r="E64" s="449"/>
      <c r="F64" s="449"/>
      <c r="G64" s="449"/>
      <c r="H64" s="449"/>
      <c r="I64" s="449"/>
      <c r="J64" s="449"/>
      <c r="K64" s="449"/>
      <c r="L64" s="78"/>
      <c r="M64" s="73"/>
      <c r="N64" s="73"/>
      <c r="O64" s="73"/>
      <c r="P64" s="73"/>
      <c r="Q64" s="73"/>
      <c r="R64" s="73"/>
      <c r="S64" s="73"/>
      <c r="T64" s="73"/>
      <c r="U64" s="73"/>
      <c r="V64" s="73"/>
    </row>
    <row r="65" spans="1:22" s="81" customFormat="1" ht="24.75">
      <c r="A65" s="80" t="s">
        <v>82</v>
      </c>
      <c r="B65" s="197" t="s">
        <v>203</v>
      </c>
      <c r="C65" s="181" t="s">
        <v>204</v>
      </c>
      <c r="D65" s="92" t="s">
        <v>29</v>
      </c>
      <c r="E65" s="200">
        <v>7.48</v>
      </c>
      <c r="F65" s="47"/>
      <c r="G65" s="47"/>
      <c r="H65" s="47"/>
      <c r="I65" s="47"/>
      <c r="J65" s="82"/>
      <c r="K65" s="47"/>
      <c r="L65" s="78"/>
      <c r="M65" s="73"/>
      <c r="N65" s="73"/>
      <c r="O65" s="73"/>
      <c r="P65" s="73"/>
      <c r="Q65" s="73"/>
      <c r="R65" s="73"/>
      <c r="S65" s="73"/>
      <c r="T65" s="73"/>
      <c r="U65" s="73"/>
      <c r="V65" s="73"/>
    </row>
    <row r="66" spans="1:22" s="81" customFormat="1" ht="24.75">
      <c r="A66" s="80" t="s">
        <v>86</v>
      </c>
      <c r="B66" s="197" t="s">
        <v>205</v>
      </c>
      <c r="C66" s="181" t="s">
        <v>206</v>
      </c>
      <c r="D66" s="92" t="s">
        <v>29</v>
      </c>
      <c r="E66" s="47">
        <f>E65*1.005</f>
        <v>7.5173999999999994</v>
      </c>
      <c r="F66" s="47"/>
      <c r="G66" s="47"/>
      <c r="H66" s="47"/>
      <c r="I66" s="47"/>
      <c r="J66" s="82"/>
      <c r="K66" s="47"/>
      <c r="L66" s="78"/>
      <c r="M66" s="73"/>
      <c r="N66" s="73"/>
      <c r="O66" s="73"/>
      <c r="P66" s="73"/>
      <c r="Q66" s="73"/>
      <c r="R66" s="73"/>
      <c r="S66" s="73"/>
      <c r="T66" s="73"/>
      <c r="U66" s="73"/>
      <c r="V66" s="73"/>
    </row>
    <row r="67" spans="1:22" s="81" customFormat="1">
      <c r="A67" s="80" t="s">
        <v>110</v>
      </c>
      <c r="B67" s="180">
        <v>72104</v>
      </c>
      <c r="C67" s="181" t="s">
        <v>520</v>
      </c>
      <c r="D67" s="182" t="s">
        <v>28</v>
      </c>
      <c r="E67" s="49">
        <f>(2.8+2.8)*1.005</f>
        <v>5.6279999999999992</v>
      </c>
      <c r="F67" s="117"/>
      <c r="G67" s="117"/>
      <c r="H67" s="117"/>
      <c r="I67" s="117"/>
      <c r="J67" s="177"/>
      <c r="K67" s="47"/>
      <c r="L67" s="78"/>
      <c r="M67" s="73"/>
      <c r="N67" s="73"/>
      <c r="O67" s="73"/>
      <c r="P67" s="73"/>
      <c r="Q67" s="73"/>
      <c r="R67" s="73"/>
      <c r="S67" s="73"/>
      <c r="T67" s="73"/>
      <c r="U67" s="73"/>
      <c r="V67" s="73"/>
    </row>
    <row r="68" spans="1:22" s="81" customFormat="1">
      <c r="A68" s="80" t="s">
        <v>111</v>
      </c>
      <c r="B68" s="197">
        <v>72104</v>
      </c>
      <c r="C68" s="76" t="s">
        <v>208</v>
      </c>
      <c r="D68" s="92" t="s">
        <v>28</v>
      </c>
      <c r="E68" s="289">
        <v>1.7</v>
      </c>
      <c r="F68" s="47"/>
      <c r="G68" s="47"/>
      <c r="H68" s="47"/>
      <c r="I68" s="47"/>
      <c r="J68" s="82"/>
      <c r="K68" s="47"/>
      <c r="L68" s="78"/>
      <c r="M68" s="73"/>
      <c r="N68" s="73"/>
      <c r="O68" s="73"/>
      <c r="P68" s="73"/>
      <c r="Q68" s="73"/>
      <c r="R68" s="73"/>
      <c r="S68" s="73"/>
      <c r="T68" s="73"/>
      <c r="U68" s="73"/>
      <c r="V68" s="73"/>
    </row>
    <row r="69" spans="1:22" s="81" customFormat="1">
      <c r="A69" s="80" t="s">
        <v>463</v>
      </c>
      <c r="B69" s="197">
        <v>72106</v>
      </c>
      <c r="C69" s="76" t="s">
        <v>207</v>
      </c>
      <c r="D69" s="92" t="s">
        <v>28</v>
      </c>
      <c r="E69" s="47">
        <f>(2.8*2)*1.005</f>
        <v>5.6279999999999992</v>
      </c>
      <c r="F69" s="47"/>
      <c r="G69" s="47"/>
      <c r="H69" s="47"/>
      <c r="I69" s="47"/>
      <c r="J69" s="82"/>
      <c r="K69" s="47"/>
      <c r="L69" s="78"/>
      <c r="M69" s="73"/>
      <c r="N69" s="73"/>
      <c r="O69" s="73"/>
      <c r="P69" s="73"/>
      <c r="Q69" s="73"/>
      <c r="R69" s="73"/>
      <c r="S69" s="73"/>
      <c r="T69" s="73"/>
      <c r="U69" s="73"/>
      <c r="V69" s="73"/>
    </row>
    <row r="70" spans="1:22" s="74" customFormat="1">
      <c r="A70" s="462" t="s">
        <v>45</v>
      </c>
      <c r="B70" s="463"/>
      <c r="C70" s="463"/>
      <c r="D70" s="463"/>
      <c r="E70" s="463"/>
      <c r="F70" s="463"/>
      <c r="G70" s="463"/>
      <c r="H70" s="463"/>
      <c r="I70" s="464"/>
      <c r="J70" s="23"/>
      <c r="K70" s="23"/>
      <c r="L70" s="79"/>
      <c r="M70" s="73"/>
      <c r="N70" s="73"/>
      <c r="O70" s="73"/>
      <c r="P70" s="73"/>
      <c r="Q70" s="73"/>
      <c r="R70" s="73"/>
      <c r="S70" s="73"/>
      <c r="T70" s="73"/>
      <c r="U70" s="73"/>
      <c r="V70" s="73"/>
    </row>
    <row r="71" spans="1:22" s="53" customFormat="1">
      <c r="A71" s="48" t="s">
        <v>83</v>
      </c>
      <c r="B71" s="474" t="s">
        <v>6</v>
      </c>
      <c r="C71" s="475"/>
      <c r="D71" s="475"/>
      <c r="E71" s="475"/>
      <c r="F71" s="475"/>
      <c r="G71" s="475"/>
      <c r="H71" s="475"/>
      <c r="I71" s="475"/>
      <c r="J71" s="475"/>
      <c r="K71" s="476"/>
      <c r="L71" s="77"/>
      <c r="M71" s="11"/>
      <c r="N71" s="11"/>
      <c r="O71" s="11"/>
      <c r="P71" s="11"/>
      <c r="Q71" s="11"/>
      <c r="R71" s="11"/>
      <c r="S71" s="11"/>
      <c r="T71" s="11"/>
    </row>
    <row r="72" spans="1:22" s="91" customFormat="1">
      <c r="A72" s="86" t="s">
        <v>343</v>
      </c>
      <c r="B72" s="358" t="s">
        <v>850</v>
      </c>
      <c r="C72" s="202" t="s">
        <v>31</v>
      </c>
      <c r="D72" s="201" t="s">
        <v>28</v>
      </c>
      <c r="E72" s="88">
        <v>42.63</v>
      </c>
      <c r="F72" s="202"/>
      <c r="G72" s="54"/>
      <c r="H72" s="202"/>
      <c r="I72" s="54"/>
      <c r="J72" s="54"/>
      <c r="K72" s="54"/>
      <c r="L72" s="90"/>
      <c r="M72" s="90"/>
      <c r="N72" s="90"/>
      <c r="O72" s="90"/>
      <c r="P72" s="90"/>
      <c r="Q72" s="90"/>
      <c r="R72" s="90"/>
      <c r="S72" s="90"/>
      <c r="T72" s="90"/>
    </row>
    <row r="73" spans="1:22" s="91" customFormat="1">
      <c r="A73" s="86" t="s">
        <v>344</v>
      </c>
      <c r="B73" s="137"/>
      <c r="C73" s="191" t="s">
        <v>48</v>
      </c>
      <c r="D73" s="173" t="s">
        <v>27</v>
      </c>
      <c r="E73" s="47">
        <v>9</v>
      </c>
      <c r="F73" s="47"/>
      <c r="G73" s="47"/>
      <c r="H73" s="47"/>
      <c r="I73" s="47"/>
      <c r="J73" s="47"/>
      <c r="K73" s="54"/>
      <c r="L73" s="90"/>
      <c r="M73" s="90"/>
      <c r="N73" s="90"/>
      <c r="O73" s="90"/>
      <c r="P73" s="90"/>
      <c r="Q73" s="90"/>
      <c r="R73" s="90"/>
      <c r="S73" s="90"/>
      <c r="T73" s="90"/>
    </row>
    <row r="74" spans="1:22" s="91" customFormat="1">
      <c r="A74" s="86" t="s">
        <v>345</v>
      </c>
      <c r="B74" s="137"/>
      <c r="C74" s="184" t="s">
        <v>100</v>
      </c>
      <c r="D74" s="173" t="s">
        <v>27</v>
      </c>
      <c r="E74" s="256">
        <v>3</v>
      </c>
      <c r="F74" s="47"/>
      <c r="G74" s="47"/>
      <c r="H74" s="185"/>
      <c r="I74" s="47"/>
      <c r="J74" s="47"/>
      <c r="K74" s="54"/>
      <c r="L74" s="90"/>
      <c r="M74" s="90"/>
      <c r="N74" s="90"/>
      <c r="O74" s="90"/>
      <c r="P74" s="90"/>
      <c r="Q74" s="90"/>
      <c r="R74" s="90"/>
      <c r="S74" s="90"/>
      <c r="T74" s="90"/>
    </row>
    <row r="75" spans="1:22" s="91" customFormat="1">
      <c r="A75" s="86" t="s">
        <v>346</v>
      </c>
      <c r="B75" s="137"/>
      <c r="C75" s="191" t="s">
        <v>32</v>
      </c>
      <c r="D75" s="173" t="s">
        <v>28</v>
      </c>
      <c r="E75" s="47">
        <v>34.81</v>
      </c>
      <c r="F75" s="47"/>
      <c r="G75" s="47"/>
      <c r="H75" s="47"/>
      <c r="I75" s="47"/>
      <c r="J75" s="47"/>
      <c r="K75" s="54"/>
      <c r="L75" s="90"/>
      <c r="M75" s="90"/>
      <c r="N75" s="90"/>
      <c r="O75" s="90"/>
      <c r="P75" s="90"/>
      <c r="Q75" s="90"/>
      <c r="R75" s="90"/>
      <c r="S75" s="90"/>
      <c r="T75" s="90"/>
    </row>
    <row r="76" spans="1:22" s="91" customFormat="1">
      <c r="A76" s="86" t="s">
        <v>347</v>
      </c>
      <c r="B76" s="137"/>
      <c r="C76" s="191" t="s">
        <v>52</v>
      </c>
      <c r="D76" s="173" t="s">
        <v>27</v>
      </c>
      <c r="E76" s="47">
        <v>5</v>
      </c>
      <c r="F76" s="47"/>
      <c r="G76" s="47"/>
      <c r="H76" s="47"/>
      <c r="I76" s="47"/>
      <c r="J76" s="47"/>
      <c r="K76" s="54"/>
      <c r="L76" s="90"/>
      <c r="M76" s="90"/>
      <c r="N76" s="90"/>
      <c r="O76" s="90"/>
      <c r="P76" s="90"/>
      <c r="Q76" s="90"/>
      <c r="R76" s="90"/>
      <c r="S76" s="90"/>
      <c r="T76" s="90"/>
    </row>
    <row r="77" spans="1:22" s="91" customFormat="1">
      <c r="A77" s="86" t="s">
        <v>348</v>
      </c>
      <c r="B77" s="137"/>
      <c r="C77" s="191" t="s">
        <v>53</v>
      </c>
      <c r="D77" s="173" t="s">
        <v>27</v>
      </c>
      <c r="E77" s="47">
        <v>2</v>
      </c>
      <c r="F77" s="47"/>
      <c r="G77" s="47"/>
      <c r="H77" s="47"/>
      <c r="I77" s="47"/>
      <c r="J77" s="47"/>
      <c r="K77" s="54"/>
      <c r="L77" s="90"/>
      <c r="M77" s="90"/>
      <c r="N77" s="90"/>
      <c r="O77" s="90"/>
      <c r="P77" s="90"/>
      <c r="Q77" s="90"/>
      <c r="R77" s="90"/>
      <c r="S77" s="90"/>
      <c r="T77" s="90"/>
    </row>
    <row r="78" spans="1:22" s="91" customFormat="1">
      <c r="A78" s="86" t="s">
        <v>349</v>
      </c>
      <c r="B78" s="137"/>
      <c r="C78" s="186" t="s">
        <v>314</v>
      </c>
      <c r="D78" s="173" t="s">
        <v>27</v>
      </c>
      <c r="E78" s="47">
        <v>1</v>
      </c>
      <c r="F78" s="186"/>
      <c r="G78" s="47"/>
      <c r="H78" s="47"/>
      <c r="I78" s="47"/>
      <c r="J78" s="47"/>
      <c r="K78" s="54"/>
      <c r="L78" s="90"/>
      <c r="M78" s="90"/>
      <c r="N78" s="90"/>
      <c r="O78" s="90"/>
      <c r="P78" s="90"/>
      <c r="Q78" s="90"/>
      <c r="R78" s="90"/>
      <c r="S78" s="90"/>
      <c r="T78" s="90"/>
    </row>
    <row r="79" spans="1:22" s="91" customFormat="1">
      <c r="A79" s="86" t="s">
        <v>350</v>
      </c>
      <c r="B79" s="137"/>
      <c r="C79" s="186" t="s">
        <v>91</v>
      </c>
      <c r="D79" s="173" t="s">
        <v>27</v>
      </c>
      <c r="E79" s="47">
        <v>3</v>
      </c>
      <c r="F79" s="186"/>
      <c r="G79" s="47"/>
      <c r="H79" s="186"/>
      <c r="I79" s="47"/>
      <c r="J79" s="47"/>
      <c r="K79" s="54"/>
      <c r="L79" s="90"/>
      <c r="M79" s="90"/>
      <c r="N79" s="90"/>
      <c r="O79" s="90"/>
      <c r="P79" s="90"/>
      <c r="Q79" s="90"/>
      <c r="R79" s="90"/>
      <c r="S79" s="90"/>
      <c r="T79" s="90"/>
    </row>
    <row r="80" spans="1:22" s="91" customFormat="1">
      <c r="A80" s="86" t="s">
        <v>351</v>
      </c>
      <c r="B80" s="137"/>
      <c r="C80" s="186" t="s">
        <v>333</v>
      </c>
      <c r="D80" s="173" t="s">
        <v>27</v>
      </c>
      <c r="E80" s="47">
        <v>4</v>
      </c>
      <c r="F80" s="186"/>
      <c r="G80" s="47"/>
      <c r="H80" s="186"/>
      <c r="I80" s="47"/>
      <c r="J80" s="47"/>
      <c r="K80" s="54"/>
      <c r="L80" s="90"/>
      <c r="M80" s="90"/>
      <c r="N80" s="90"/>
      <c r="O80" s="90"/>
      <c r="P80" s="90"/>
      <c r="Q80" s="90"/>
      <c r="R80" s="90"/>
      <c r="S80" s="90"/>
      <c r="T80" s="90"/>
    </row>
    <row r="81" spans="1:20" s="91" customFormat="1">
      <c r="A81" s="86" t="s">
        <v>386</v>
      </c>
      <c r="B81" s="359" t="s">
        <v>852</v>
      </c>
      <c r="C81" s="186" t="s">
        <v>50</v>
      </c>
      <c r="D81" s="173" t="s">
        <v>27</v>
      </c>
      <c r="E81" s="47">
        <v>2</v>
      </c>
      <c r="F81" s="47"/>
      <c r="G81" s="47"/>
      <c r="H81" s="186"/>
      <c r="I81" s="47"/>
      <c r="J81" s="47"/>
      <c r="K81" s="54"/>
      <c r="L81" s="90"/>
      <c r="M81" s="90"/>
      <c r="N81" s="90"/>
      <c r="O81" s="90"/>
      <c r="P81" s="90"/>
      <c r="Q81" s="90"/>
      <c r="R81" s="90"/>
      <c r="S81" s="90"/>
      <c r="T81" s="90"/>
    </row>
    <row r="82" spans="1:20" s="91" customFormat="1">
      <c r="A82" s="86" t="s">
        <v>387</v>
      </c>
      <c r="B82" s="359" t="s">
        <v>852</v>
      </c>
      <c r="C82" s="186" t="s">
        <v>316</v>
      </c>
      <c r="D82" s="173" t="s">
        <v>27</v>
      </c>
      <c r="E82" s="47">
        <v>2</v>
      </c>
      <c r="F82" s="47"/>
      <c r="G82" s="47"/>
      <c r="H82" s="186"/>
      <c r="I82" s="47"/>
      <c r="J82" s="47"/>
      <c r="K82" s="54"/>
      <c r="L82" s="90"/>
      <c r="M82" s="90"/>
      <c r="N82" s="90"/>
      <c r="O82" s="90"/>
      <c r="P82" s="90"/>
      <c r="Q82" s="90"/>
      <c r="R82" s="90"/>
      <c r="S82" s="90"/>
      <c r="T82" s="90"/>
    </row>
    <row r="83" spans="1:20" s="91" customFormat="1">
      <c r="A83" s="86" t="s">
        <v>389</v>
      </c>
      <c r="B83" s="137"/>
      <c r="C83" s="186" t="s">
        <v>93</v>
      </c>
      <c r="D83" s="173" t="s">
        <v>27</v>
      </c>
      <c r="E83" s="47">
        <v>1</v>
      </c>
      <c r="F83" s="47"/>
      <c r="G83" s="47"/>
      <c r="H83" s="186"/>
      <c r="I83" s="47"/>
      <c r="J83" s="47"/>
      <c r="K83" s="54"/>
      <c r="L83" s="90"/>
      <c r="M83" s="90"/>
      <c r="N83" s="90"/>
      <c r="O83" s="90"/>
      <c r="P83" s="90"/>
      <c r="Q83" s="90"/>
      <c r="R83" s="90"/>
      <c r="S83" s="90"/>
      <c r="T83" s="90"/>
    </row>
    <row r="84" spans="1:20" s="53" customFormat="1">
      <c r="A84" s="86" t="s">
        <v>390</v>
      </c>
      <c r="B84" s="59"/>
      <c r="C84" s="186" t="s">
        <v>334</v>
      </c>
      <c r="D84" s="173" t="s">
        <v>27</v>
      </c>
      <c r="E84" s="47">
        <v>1</v>
      </c>
      <c r="F84" s="47"/>
      <c r="G84" s="47"/>
      <c r="H84" s="186"/>
      <c r="I84" s="47"/>
      <c r="J84" s="47"/>
      <c r="K84" s="54"/>
      <c r="L84" s="11"/>
      <c r="M84" s="11"/>
      <c r="N84" s="11"/>
      <c r="O84" s="11"/>
      <c r="P84" s="11"/>
      <c r="Q84" s="11"/>
      <c r="R84" s="11"/>
      <c r="S84" s="11"/>
      <c r="T84" s="11"/>
    </row>
    <row r="85" spans="1:20">
      <c r="A85" s="479" t="s">
        <v>84</v>
      </c>
      <c r="B85" s="480"/>
      <c r="C85" s="480"/>
      <c r="D85" s="480"/>
      <c r="E85" s="480"/>
      <c r="F85" s="480"/>
      <c r="G85" s="480"/>
      <c r="H85" s="480"/>
      <c r="I85" s="481"/>
      <c r="J85" s="23"/>
      <c r="K85" s="39"/>
      <c r="L85" s="11"/>
      <c r="M85" s="11"/>
      <c r="N85" s="11"/>
      <c r="O85" s="11"/>
      <c r="P85" s="11"/>
      <c r="Q85" s="11"/>
      <c r="R85" s="11"/>
      <c r="S85" s="11"/>
      <c r="T85" s="11"/>
    </row>
    <row r="86" spans="1:20" s="53" customFormat="1">
      <c r="A86" s="60" t="s">
        <v>46</v>
      </c>
      <c r="B86" s="486" t="s">
        <v>112</v>
      </c>
      <c r="C86" s="487"/>
      <c r="D86" s="487"/>
      <c r="E86" s="487"/>
      <c r="F86" s="487"/>
      <c r="G86" s="487"/>
      <c r="H86" s="487"/>
      <c r="I86" s="487"/>
      <c r="J86" s="487"/>
      <c r="K86" s="488"/>
      <c r="L86" s="11"/>
      <c r="M86" s="11"/>
      <c r="N86" s="11"/>
      <c r="O86" s="11"/>
      <c r="P86" s="11"/>
      <c r="Q86" s="11"/>
      <c r="R86" s="11"/>
      <c r="S86" s="11"/>
      <c r="T86" s="11"/>
    </row>
    <row r="87" spans="1:20" s="53" customFormat="1">
      <c r="A87" s="48" t="s">
        <v>352</v>
      </c>
      <c r="B87" s="48"/>
      <c r="C87" s="184" t="s">
        <v>94</v>
      </c>
      <c r="D87" s="205" t="s">
        <v>28</v>
      </c>
      <c r="E87" s="261">
        <v>18.2</v>
      </c>
      <c r="F87" s="47"/>
      <c r="G87" s="47"/>
      <c r="H87" s="47"/>
      <c r="I87" s="47"/>
      <c r="J87" s="47"/>
      <c r="K87" s="54"/>
      <c r="L87" s="11"/>
      <c r="M87" s="11"/>
      <c r="N87" s="11"/>
      <c r="O87" s="11"/>
      <c r="P87" s="11"/>
      <c r="Q87" s="11"/>
      <c r="R87" s="11"/>
      <c r="S87" s="11"/>
      <c r="T87" s="11"/>
    </row>
    <row r="88" spans="1:20" s="53" customFormat="1">
      <c r="A88" s="48" t="s">
        <v>353</v>
      </c>
      <c r="B88" s="48"/>
      <c r="C88" s="184" t="s">
        <v>95</v>
      </c>
      <c r="D88" s="173" t="s">
        <v>27</v>
      </c>
      <c r="E88" s="261">
        <v>3</v>
      </c>
      <c r="F88" s="185"/>
      <c r="G88" s="47"/>
      <c r="H88" s="185"/>
      <c r="I88" s="47"/>
      <c r="J88" s="47"/>
      <c r="K88" s="54"/>
      <c r="L88" s="11"/>
      <c r="M88" s="11"/>
      <c r="N88" s="11"/>
      <c r="O88" s="11"/>
      <c r="P88" s="11"/>
      <c r="Q88" s="11"/>
      <c r="R88" s="11"/>
      <c r="S88" s="11"/>
      <c r="T88" s="11"/>
    </row>
    <row r="89" spans="1:20" s="53" customFormat="1">
      <c r="A89" s="48" t="s">
        <v>354</v>
      </c>
      <c r="B89" s="48"/>
      <c r="C89" s="184" t="s">
        <v>99</v>
      </c>
      <c r="D89" s="173" t="s">
        <v>27</v>
      </c>
      <c r="E89" s="261">
        <v>2</v>
      </c>
      <c r="F89" s="185"/>
      <c r="G89" s="47"/>
      <c r="H89" s="185"/>
      <c r="I89" s="47"/>
      <c r="J89" s="47"/>
      <c r="K89" s="54"/>
      <c r="L89" s="11"/>
      <c r="M89" s="11"/>
      <c r="N89" s="11"/>
      <c r="O89" s="11"/>
      <c r="P89" s="11"/>
      <c r="Q89" s="11"/>
      <c r="R89" s="11"/>
      <c r="S89" s="11"/>
      <c r="T89" s="11"/>
    </row>
    <row r="90" spans="1:20" s="53" customFormat="1" ht="24.75">
      <c r="A90" s="48" t="s">
        <v>355</v>
      </c>
      <c r="B90" s="48"/>
      <c r="C90" s="206" t="s">
        <v>97</v>
      </c>
      <c r="D90" s="171" t="s">
        <v>27</v>
      </c>
      <c r="E90" s="261">
        <v>1</v>
      </c>
      <c r="F90" s="185"/>
      <c r="G90" s="257"/>
      <c r="H90" s="185"/>
      <c r="I90" s="257"/>
      <c r="J90" s="257"/>
      <c r="K90" s="54"/>
      <c r="L90" s="11"/>
      <c r="M90" s="11"/>
      <c r="N90" s="11"/>
      <c r="O90" s="11"/>
      <c r="P90" s="11"/>
      <c r="Q90" s="11"/>
      <c r="R90" s="11"/>
      <c r="S90" s="11"/>
      <c r="T90" s="11"/>
    </row>
    <row r="91" spans="1:20" s="53" customFormat="1">
      <c r="A91" s="48" t="s">
        <v>356</v>
      </c>
      <c r="B91" s="48"/>
      <c r="C91" s="184" t="s">
        <v>98</v>
      </c>
      <c r="D91" s="205" t="s">
        <v>28</v>
      </c>
      <c r="E91" s="261">
        <v>36.4</v>
      </c>
      <c r="F91" s="185"/>
      <c r="G91" s="47"/>
      <c r="H91" s="185"/>
      <c r="I91" s="47"/>
      <c r="J91" s="47"/>
      <c r="K91" s="54"/>
      <c r="L91" s="11"/>
      <c r="M91" s="11"/>
      <c r="N91" s="11"/>
      <c r="O91" s="11"/>
      <c r="P91" s="11"/>
      <c r="Q91" s="11"/>
      <c r="R91" s="11"/>
      <c r="S91" s="11"/>
      <c r="T91" s="11"/>
    </row>
    <row r="92" spans="1:20" s="53" customFormat="1">
      <c r="A92" s="48" t="s">
        <v>357</v>
      </c>
      <c r="B92" s="48"/>
      <c r="C92" s="243" t="s">
        <v>96</v>
      </c>
      <c r="D92" s="208" t="s">
        <v>28</v>
      </c>
      <c r="E92" s="262">
        <v>46.4</v>
      </c>
      <c r="F92" s="209"/>
      <c r="G92" s="47"/>
      <c r="H92" s="209"/>
      <c r="I92" s="47"/>
      <c r="J92" s="47"/>
      <c r="K92" s="54"/>
      <c r="L92" s="11"/>
      <c r="M92" s="11"/>
      <c r="N92" s="11"/>
      <c r="O92" s="11"/>
      <c r="P92" s="11"/>
      <c r="Q92" s="11"/>
      <c r="R92" s="11"/>
      <c r="S92" s="11"/>
      <c r="T92" s="11"/>
    </row>
    <row r="93" spans="1:20" s="53" customFormat="1">
      <c r="A93" s="48" t="s">
        <v>358</v>
      </c>
      <c r="B93" s="48"/>
      <c r="C93" s="191" t="s">
        <v>48</v>
      </c>
      <c r="D93" s="173" t="s">
        <v>27</v>
      </c>
      <c r="E93" s="172">
        <v>4</v>
      </c>
      <c r="F93" s="47"/>
      <c r="G93" s="47"/>
      <c r="H93" s="47"/>
      <c r="I93" s="47"/>
      <c r="J93" s="47"/>
      <c r="K93" s="54"/>
      <c r="L93" s="11"/>
      <c r="M93" s="11"/>
      <c r="N93" s="11"/>
      <c r="O93" s="11"/>
      <c r="P93" s="11"/>
      <c r="Q93" s="11"/>
      <c r="R93" s="11"/>
      <c r="S93" s="11"/>
      <c r="T93" s="11"/>
    </row>
    <row r="94" spans="1:20" s="53" customFormat="1">
      <c r="A94" s="482" t="s">
        <v>85</v>
      </c>
      <c r="B94" s="483"/>
      <c r="C94" s="483"/>
      <c r="D94" s="483"/>
      <c r="E94" s="483"/>
      <c r="F94" s="483"/>
      <c r="G94" s="483"/>
      <c r="H94" s="483"/>
      <c r="I94" s="484"/>
      <c r="J94" s="61"/>
      <c r="K94" s="61"/>
      <c r="L94" s="11"/>
      <c r="M94" s="11"/>
      <c r="N94" s="11"/>
      <c r="O94" s="11"/>
      <c r="P94" s="11"/>
      <c r="Q94" s="11"/>
      <c r="R94" s="11"/>
      <c r="S94" s="11"/>
      <c r="T94" s="11"/>
    </row>
    <row r="95" spans="1:20" s="53" customFormat="1">
      <c r="A95" s="60" t="s">
        <v>138</v>
      </c>
      <c r="B95" s="559" t="s">
        <v>54</v>
      </c>
      <c r="C95" s="560"/>
      <c r="D95" s="560"/>
      <c r="E95" s="560"/>
      <c r="F95" s="560"/>
      <c r="G95" s="560"/>
      <c r="H95" s="560"/>
      <c r="I95" s="560"/>
      <c r="J95" s="560"/>
      <c r="K95" s="561"/>
      <c r="L95" s="11"/>
      <c r="M95" s="11"/>
      <c r="N95" s="395"/>
      <c r="O95" s="372"/>
      <c r="P95" s="11"/>
      <c r="Q95" s="11"/>
      <c r="R95" s="11"/>
      <c r="S95" s="11"/>
      <c r="T95" s="11"/>
    </row>
    <row r="96" spans="1:20" s="53" customFormat="1">
      <c r="A96" s="48" t="s">
        <v>359</v>
      </c>
      <c r="B96" s="365" t="s">
        <v>747</v>
      </c>
      <c r="C96" s="186" t="s">
        <v>336</v>
      </c>
      <c r="D96" s="173" t="s">
        <v>28</v>
      </c>
      <c r="E96" s="47">
        <v>24.4</v>
      </c>
      <c r="F96" s="47"/>
      <c r="G96" s="47"/>
      <c r="H96" s="47"/>
      <c r="I96" s="47"/>
      <c r="J96" s="47"/>
      <c r="K96" s="54"/>
      <c r="L96" s="11"/>
      <c r="M96" s="11"/>
      <c r="N96" s="395"/>
      <c r="O96" s="372"/>
      <c r="P96" s="11"/>
      <c r="Q96" s="11"/>
      <c r="R96" s="11"/>
      <c r="S96" s="11"/>
      <c r="T96" s="11"/>
    </row>
    <row r="97" spans="1:20" s="53" customFormat="1">
      <c r="A97" s="48" t="s">
        <v>360</v>
      </c>
      <c r="B97" s="365" t="s">
        <v>857</v>
      </c>
      <c r="C97" s="186" t="s">
        <v>338</v>
      </c>
      <c r="D97" s="173" t="s">
        <v>28</v>
      </c>
      <c r="E97" s="47">
        <v>7.4</v>
      </c>
      <c r="F97" s="47"/>
      <c r="G97" s="47"/>
      <c r="H97" s="47"/>
      <c r="I97" s="47"/>
      <c r="J97" s="47"/>
      <c r="K97" s="54"/>
      <c r="L97" s="11"/>
      <c r="M97" s="11"/>
      <c r="N97" s="395"/>
      <c r="O97" s="372"/>
      <c r="P97" s="11"/>
      <c r="Q97" s="11"/>
      <c r="R97" s="11"/>
      <c r="S97" s="11"/>
      <c r="T97" s="11"/>
    </row>
    <row r="98" spans="1:20" s="53" customFormat="1">
      <c r="A98" s="48" t="s">
        <v>361</v>
      </c>
      <c r="B98" s="365" t="s">
        <v>859</v>
      </c>
      <c r="C98" s="186" t="s">
        <v>339</v>
      </c>
      <c r="D98" s="173" t="s">
        <v>28</v>
      </c>
      <c r="E98" s="47">
        <v>13</v>
      </c>
      <c r="F98" s="47"/>
      <c r="G98" s="47"/>
      <c r="H98" s="47"/>
      <c r="I98" s="47"/>
      <c r="J98" s="47"/>
      <c r="K98" s="54"/>
      <c r="L98" s="11"/>
      <c r="M98" s="11"/>
      <c r="N98" s="395"/>
      <c r="O98" s="372"/>
      <c r="P98" s="11"/>
      <c r="Q98" s="11"/>
      <c r="R98" s="11"/>
      <c r="S98" s="11"/>
      <c r="T98" s="11"/>
    </row>
    <row r="99" spans="1:20" s="53" customFormat="1">
      <c r="A99" s="48" t="s">
        <v>362</v>
      </c>
      <c r="B99" s="365" t="s">
        <v>862</v>
      </c>
      <c r="C99" s="186" t="s">
        <v>340</v>
      </c>
      <c r="D99" s="173" t="s">
        <v>28</v>
      </c>
      <c r="E99" s="47">
        <v>5.8</v>
      </c>
      <c r="F99" s="47"/>
      <c r="G99" s="47"/>
      <c r="H99" s="47"/>
      <c r="I99" s="47"/>
      <c r="J99" s="47"/>
      <c r="K99" s="54"/>
      <c r="L99" s="11"/>
      <c r="M99" s="11"/>
      <c r="N99" s="395"/>
      <c r="O99" s="372"/>
      <c r="P99" s="11"/>
      <c r="Q99" s="11"/>
      <c r="R99" s="11"/>
      <c r="S99" s="11"/>
      <c r="T99" s="11"/>
    </row>
    <row r="100" spans="1:20" s="53" customFormat="1">
      <c r="A100" s="48" t="s">
        <v>363</v>
      </c>
      <c r="B100" s="365">
        <v>72557</v>
      </c>
      <c r="C100" s="186" t="s">
        <v>55</v>
      </c>
      <c r="D100" s="173" t="s">
        <v>27</v>
      </c>
      <c r="E100" s="47">
        <v>2</v>
      </c>
      <c r="F100" s="47"/>
      <c r="G100" s="47"/>
      <c r="H100" s="47"/>
      <c r="I100" s="47"/>
      <c r="J100" s="47"/>
      <c r="K100" s="54"/>
      <c r="L100" s="11"/>
      <c r="M100" s="11"/>
      <c r="N100" s="406"/>
      <c r="O100" s="372"/>
      <c r="P100" s="11"/>
      <c r="Q100" s="11"/>
      <c r="R100" s="11"/>
      <c r="S100" s="11"/>
      <c r="T100" s="11"/>
    </row>
    <row r="101" spans="1:20" s="53" customFormat="1">
      <c r="A101" s="48" t="s">
        <v>364</v>
      </c>
      <c r="B101" s="369">
        <v>72560</v>
      </c>
      <c r="C101" s="186" t="s">
        <v>319</v>
      </c>
      <c r="D101" s="173" t="s">
        <v>27</v>
      </c>
      <c r="E101" s="47">
        <v>3</v>
      </c>
      <c r="F101" s="47"/>
      <c r="G101" s="47"/>
      <c r="H101" s="47"/>
      <c r="I101" s="47"/>
      <c r="J101" s="47"/>
      <c r="K101" s="54"/>
      <c r="L101" s="11"/>
      <c r="M101" s="11"/>
      <c r="N101" s="406"/>
      <c r="O101" s="372"/>
      <c r="P101" s="11"/>
      <c r="Q101" s="11"/>
      <c r="R101" s="11"/>
      <c r="S101" s="11"/>
      <c r="T101" s="11"/>
    </row>
    <row r="102" spans="1:20" s="53" customFormat="1">
      <c r="A102" s="48" t="s">
        <v>365</v>
      </c>
      <c r="B102" s="369">
        <v>72573</v>
      </c>
      <c r="C102" s="186" t="s">
        <v>290</v>
      </c>
      <c r="D102" s="173" t="s">
        <v>27</v>
      </c>
      <c r="E102" s="47">
        <v>4</v>
      </c>
      <c r="F102" s="47"/>
      <c r="G102" s="47"/>
      <c r="H102" s="47"/>
      <c r="I102" s="47"/>
      <c r="J102" s="47"/>
      <c r="K102" s="54"/>
      <c r="L102" s="11"/>
      <c r="M102" s="11"/>
      <c r="N102" s="395"/>
      <c r="O102" s="372"/>
      <c r="P102" s="11"/>
      <c r="Q102" s="11"/>
      <c r="R102" s="11"/>
      <c r="S102" s="11"/>
      <c r="T102" s="11"/>
    </row>
    <row r="103" spans="1:20" s="53" customFormat="1">
      <c r="A103" s="48" t="s">
        <v>366</v>
      </c>
      <c r="B103" s="369">
        <v>72580</v>
      </c>
      <c r="C103" s="186" t="s">
        <v>291</v>
      </c>
      <c r="D103" s="173" t="s">
        <v>27</v>
      </c>
      <c r="E103" s="47">
        <v>2</v>
      </c>
      <c r="F103" s="47"/>
      <c r="G103" s="47"/>
      <c r="H103" s="47"/>
      <c r="I103" s="47"/>
      <c r="J103" s="47"/>
      <c r="K103" s="54"/>
      <c r="L103" s="11"/>
      <c r="M103" s="11"/>
      <c r="N103" s="395"/>
      <c r="O103" s="372"/>
      <c r="P103" s="11"/>
      <c r="Q103" s="11"/>
      <c r="R103" s="11"/>
      <c r="S103" s="11"/>
      <c r="T103" s="11"/>
    </row>
    <row r="104" spans="1:20" s="53" customFormat="1">
      <c r="A104" s="48" t="s">
        <v>367</v>
      </c>
      <c r="B104" s="48"/>
      <c r="C104" s="186" t="s">
        <v>292</v>
      </c>
      <c r="D104" s="173" t="s">
        <v>27</v>
      </c>
      <c r="E104" s="47">
        <v>1</v>
      </c>
      <c r="F104" s="47"/>
      <c r="G104" s="47"/>
      <c r="H104" s="47"/>
      <c r="I104" s="47"/>
      <c r="J104" s="47"/>
      <c r="K104" s="54"/>
      <c r="L104" s="11"/>
      <c r="M104" s="11"/>
      <c r="N104" s="403"/>
      <c r="O104" s="372"/>
      <c r="P104" s="11"/>
      <c r="Q104" s="11"/>
      <c r="R104" s="11"/>
      <c r="S104" s="11"/>
      <c r="T104" s="11"/>
    </row>
    <row r="105" spans="1:20" s="53" customFormat="1">
      <c r="A105" s="48" t="s">
        <v>368</v>
      </c>
      <c r="B105" s="48"/>
      <c r="C105" s="186" t="s">
        <v>58</v>
      </c>
      <c r="D105" s="173" t="s">
        <v>27</v>
      </c>
      <c r="E105" s="47">
        <v>2</v>
      </c>
      <c r="F105" s="47"/>
      <c r="G105" s="47"/>
      <c r="H105" s="47"/>
      <c r="I105" s="47"/>
      <c r="J105" s="47"/>
      <c r="K105" s="54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1:20" s="53" customFormat="1">
      <c r="A106" s="48" t="s">
        <v>369</v>
      </c>
      <c r="B106" s="48"/>
      <c r="C106" s="186" t="s">
        <v>293</v>
      </c>
      <c r="D106" s="173" t="s">
        <v>27</v>
      </c>
      <c r="E106" s="47">
        <v>2</v>
      </c>
      <c r="F106" s="47"/>
      <c r="G106" s="47"/>
      <c r="H106" s="47"/>
      <c r="I106" s="47"/>
      <c r="J106" s="47"/>
      <c r="K106" s="54"/>
      <c r="L106" s="11"/>
      <c r="M106" s="11"/>
      <c r="N106" s="395"/>
      <c r="O106" s="372"/>
      <c r="P106" s="11"/>
      <c r="Q106" s="11"/>
      <c r="R106" s="11"/>
      <c r="S106" s="11"/>
      <c r="T106" s="11"/>
    </row>
    <row r="107" spans="1:20" s="53" customFormat="1">
      <c r="A107" s="48" t="s">
        <v>370</v>
      </c>
      <c r="B107" s="48"/>
      <c r="C107" s="186" t="s">
        <v>60</v>
      </c>
      <c r="D107" s="173" t="s">
        <v>27</v>
      </c>
      <c r="E107" s="47">
        <v>1</v>
      </c>
      <c r="F107" s="47"/>
      <c r="G107" s="47"/>
      <c r="H107" s="47"/>
      <c r="I107" s="47"/>
      <c r="J107" s="47"/>
      <c r="K107" s="54"/>
      <c r="L107" s="11"/>
      <c r="M107" s="11"/>
      <c r="N107" s="395"/>
      <c r="O107" s="372"/>
      <c r="P107" s="11"/>
      <c r="Q107" s="11"/>
      <c r="R107" s="11"/>
      <c r="S107" s="11"/>
      <c r="T107" s="11"/>
    </row>
    <row r="108" spans="1:20" s="53" customFormat="1">
      <c r="A108" s="48" t="s">
        <v>371</v>
      </c>
      <c r="B108" s="48"/>
      <c r="C108" s="186" t="s">
        <v>62</v>
      </c>
      <c r="D108" s="173" t="s">
        <v>27</v>
      </c>
      <c r="E108" s="47">
        <v>1</v>
      </c>
      <c r="F108" s="47"/>
      <c r="G108" s="47"/>
      <c r="H108" s="47"/>
      <c r="I108" s="47"/>
      <c r="J108" s="47"/>
      <c r="K108" s="54"/>
      <c r="L108" s="11"/>
      <c r="M108" s="11"/>
      <c r="N108" s="395"/>
      <c r="O108" s="372"/>
      <c r="P108" s="11"/>
      <c r="Q108" s="11"/>
      <c r="R108" s="11"/>
      <c r="S108" s="11"/>
      <c r="T108" s="11"/>
    </row>
    <row r="109" spans="1:20" s="53" customFormat="1">
      <c r="A109" s="48" t="s">
        <v>372</v>
      </c>
      <c r="B109" s="48"/>
      <c r="C109" s="191" t="s">
        <v>323</v>
      </c>
      <c r="D109" s="173" t="s">
        <v>27</v>
      </c>
      <c r="E109" s="290">
        <v>1</v>
      </c>
      <c r="F109" s="47"/>
      <c r="G109" s="47"/>
      <c r="H109" s="47"/>
      <c r="I109" s="47"/>
      <c r="J109" s="47"/>
      <c r="K109" s="54"/>
      <c r="L109" s="11"/>
      <c r="M109" s="11"/>
      <c r="N109" s="403"/>
      <c r="O109" s="372"/>
      <c r="P109" s="11"/>
      <c r="Q109" s="11"/>
      <c r="R109" s="11"/>
      <c r="S109" s="11"/>
      <c r="T109" s="11"/>
    </row>
    <row r="110" spans="1:20" s="53" customFormat="1">
      <c r="A110" s="48" t="s">
        <v>373</v>
      </c>
      <c r="B110" s="370" t="s">
        <v>863</v>
      </c>
      <c r="C110" s="191" t="s">
        <v>296</v>
      </c>
      <c r="D110" s="173" t="s">
        <v>27</v>
      </c>
      <c r="E110" s="290">
        <v>1</v>
      </c>
      <c r="F110" s="47"/>
      <c r="G110" s="47"/>
      <c r="H110" s="47"/>
      <c r="I110" s="47"/>
      <c r="J110" s="47"/>
      <c r="K110" s="54"/>
      <c r="L110" s="11"/>
      <c r="M110" s="11"/>
      <c r="N110" s="403"/>
      <c r="O110" s="372"/>
      <c r="P110" s="11"/>
      <c r="Q110" s="11"/>
      <c r="R110" s="11"/>
      <c r="S110" s="11"/>
      <c r="T110" s="11"/>
    </row>
    <row r="111" spans="1:20" s="53" customFormat="1">
      <c r="A111" s="48" t="s">
        <v>374</v>
      </c>
      <c r="B111" s="48"/>
      <c r="C111" s="186" t="s">
        <v>298</v>
      </c>
      <c r="D111" s="173" t="s">
        <v>27</v>
      </c>
      <c r="E111" s="47">
        <v>1</v>
      </c>
      <c r="F111" s="47"/>
      <c r="G111" s="47"/>
      <c r="H111" s="47"/>
      <c r="I111" s="47"/>
      <c r="J111" s="47"/>
      <c r="K111" s="54"/>
      <c r="L111" s="11"/>
      <c r="M111" s="11"/>
      <c r="N111" s="403"/>
      <c r="O111" s="372"/>
      <c r="P111" s="11"/>
      <c r="Q111" s="11"/>
      <c r="R111" s="11"/>
      <c r="S111" s="11"/>
      <c r="T111" s="11"/>
    </row>
    <row r="112" spans="1:20" s="53" customFormat="1">
      <c r="A112" s="48" t="s">
        <v>375</v>
      </c>
      <c r="B112" s="48"/>
      <c r="C112" s="186" t="s">
        <v>63</v>
      </c>
      <c r="D112" s="173" t="s">
        <v>27</v>
      </c>
      <c r="E112" s="47">
        <v>1</v>
      </c>
      <c r="F112" s="47"/>
      <c r="G112" s="47"/>
      <c r="H112" s="47"/>
      <c r="I112" s="47"/>
      <c r="J112" s="47"/>
      <c r="K112" s="54"/>
      <c r="L112" s="11"/>
      <c r="M112" s="11"/>
      <c r="N112" s="403"/>
      <c r="O112" s="372"/>
      <c r="P112" s="11"/>
      <c r="Q112" s="11"/>
      <c r="R112" s="11"/>
      <c r="S112" s="11"/>
      <c r="T112" s="11"/>
    </row>
    <row r="113" spans="1:22" s="53" customFormat="1">
      <c r="A113" s="48" t="s">
        <v>376</v>
      </c>
      <c r="B113" s="48"/>
      <c r="C113" s="186" t="s">
        <v>845</v>
      </c>
      <c r="D113" s="173" t="s">
        <v>27</v>
      </c>
      <c r="E113" s="47">
        <v>1</v>
      </c>
      <c r="F113" s="47"/>
      <c r="G113" s="47"/>
      <c r="H113" s="47"/>
      <c r="I113" s="47"/>
      <c r="J113" s="47"/>
      <c r="K113" s="54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2" s="53" customFormat="1">
      <c r="A114" s="48" t="s">
        <v>377</v>
      </c>
      <c r="B114" s="48"/>
      <c r="C114" s="186" t="s">
        <v>303</v>
      </c>
      <c r="D114" s="173" t="s">
        <v>27</v>
      </c>
      <c r="E114" s="47">
        <v>1</v>
      </c>
      <c r="F114" s="47"/>
      <c r="G114" s="47"/>
      <c r="H114" s="47"/>
      <c r="I114" s="47"/>
      <c r="J114" s="47"/>
      <c r="K114" s="54"/>
      <c r="L114" s="11"/>
      <c r="M114" s="11"/>
      <c r="N114" s="401"/>
      <c r="O114" s="373"/>
      <c r="P114" s="11"/>
      <c r="Q114" s="11"/>
      <c r="R114" s="11"/>
      <c r="S114" s="11"/>
      <c r="T114" s="11"/>
    </row>
    <row r="115" spans="1:22" s="53" customFormat="1">
      <c r="A115" s="48" t="s">
        <v>378</v>
      </c>
      <c r="B115" s="48"/>
      <c r="C115" s="186" t="s">
        <v>636</v>
      </c>
      <c r="D115" s="173" t="s">
        <v>27</v>
      </c>
      <c r="E115" s="47">
        <v>1</v>
      </c>
      <c r="F115" s="47"/>
      <c r="G115" s="47"/>
      <c r="H115" s="47"/>
      <c r="I115" s="47"/>
      <c r="J115" s="47"/>
      <c r="K115" s="54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2" s="53" customFormat="1">
      <c r="A116" s="48" t="s">
        <v>379</v>
      </c>
      <c r="B116" s="48"/>
      <c r="C116" s="186" t="s">
        <v>625</v>
      </c>
      <c r="D116" s="173" t="s">
        <v>27</v>
      </c>
      <c r="E116" s="47">
        <v>1</v>
      </c>
      <c r="F116" s="47"/>
      <c r="G116" s="47"/>
      <c r="H116" s="47"/>
      <c r="I116" s="47"/>
      <c r="J116" s="47"/>
      <c r="K116" s="54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2" s="53" customFormat="1">
      <c r="A117" s="48" t="s">
        <v>385</v>
      </c>
      <c r="B117" s="48"/>
      <c r="C117" s="186" t="s">
        <v>626</v>
      </c>
      <c r="D117" s="173" t="s">
        <v>27</v>
      </c>
      <c r="E117" s="47">
        <v>1</v>
      </c>
      <c r="F117" s="47"/>
      <c r="G117" s="47"/>
      <c r="H117" s="47"/>
      <c r="I117" s="47"/>
      <c r="J117" s="47"/>
      <c r="K117" s="54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2" s="53" customFormat="1">
      <c r="A118" s="48" t="s">
        <v>391</v>
      </c>
      <c r="B118" s="48"/>
      <c r="C118" s="186" t="s">
        <v>627</v>
      </c>
      <c r="D118" s="173" t="s">
        <v>27</v>
      </c>
      <c r="E118" s="47">
        <v>1</v>
      </c>
      <c r="F118" s="47"/>
      <c r="G118" s="47"/>
      <c r="H118" s="47"/>
      <c r="I118" s="47"/>
      <c r="J118" s="47"/>
      <c r="K118" s="54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2" s="53" customFormat="1">
      <c r="A119" s="48" t="s">
        <v>392</v>
      </c>
      <c r="B119" s="380" t="s">
        <v>836</v>
      </c>
      <c r="C119" s="381" t="s">
        <v>837</v>
      </c>
      <c r="D119" s="213" t="s">
        <v>28</v>
      </c>
      <c r="E119" s="47">
        <v>8</v>
      </c>
      <c r="F119" s="47"/>
      <c r="G119" s="47"/>
      <c r="H119" s="47"/>
      <c r="I119" s="47"/>
      <c r="J119" s="47"/>
      <c r="K119" s="54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1:22">
      <c r="A120" s="479" t="s">
        <v>139</v>
      </c>
      <c r="B120" s="480"/>
      <c r="C120" s="480"/>
      <c r="D120" s="480"/>
      <c r="E120" s="480"/>
      <c r="F120" s="480"/>
      <c r="G120" s="480"/>
      <c r="H120" s="480"/>
      <c r="I120" s="481"/>
      <c r="J120" s="23"/>
      <c r="K120" s="39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1:22" s="74" customFormat="1">
      <c r="A121" s="70" t="s">
        <v>113</v>
      </c>
      <c r="B121" s="477" t="s">
        <v>114</v>
      </c>
      <c r="C121" s="478"/>
      <c r="D121" s="478"/>
      <c r="E121" s="478"/>
      <c r="F121" s="478"/>
      <c r="G121" s="478"/>
      <c r="H121" s="478"/>
      <c r="I121" s="478"/>
      <c r="J121" s="478"/>
      <c r="K121" s="478"/>
      <c r="L121" s="78"/>
      <c r="M121" s="73"/>
      <c r="N121" s="73"/>
      <c r="O121" s="73"/>
      <c r="P121" s="73"/>
      <c r="Q121" s="73"/>
      <c r="R121" s="73"/>
      <c r="S121" s="73"/>
      <c r="T121" s="73"/>
      <c r="U121" s="73"/>
      <c r="V121" s="73"/>
    </row>
    <row r="122" spans="1:22" s="154" customFormat="1" ht="14.25">
      <c r="A122" s="124" t="s">
        <v>115</v>
      </c>
      <c r="B122" s="180">
        <v>72075</v>
      </c>
      <c r="C122" s="183" t="s">
        <v>342</v>
      </c>
      <c r="D122" s="182" t="s">
        <v>29</v>
      </c>
      <c r="E122" s="117">
        <f>E133+2.56</f>
        <v>20.864000000000001</v>
      </c>
      <c r="F122" s="183"/>
      <c r="G122" s="47"/>
      <c r="H122" s="183"/>
      <c r="I122" s="47"/>
      <c r="J122" s="47"/>
      <c r="K122" s="47"/>
      <c r="L122" s="120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</row>
    <row r="123" spans="1:22" s="74" customFormat="1">
      <c r="A123" s="462" t="s">
        <v>117</v>
      </c>
      <c r="B123" s="463"/>
      <c r="C123" s="463"/>
      <c r="D123" s="463"/>
      <c r="E123" s="463"/>
      <c r="F123" s="463"/>
      <c r="G123" s="463"/>
      <c r="H123" s="463"/>
      <c r="I123" s="464"/>
      <c r="J123" s="23"/>
      <c r="K123" s="23"/>
      <c r="L123" s="79"/>
      <c r="M123" s="73"/>
      <c r="N123" s="73"/>
      <c r="O123" s="73"/>
      <c r="P123" s="73"/>
      <c r="Q123" s="73"/>
      <c r="R123" s="73"/>
      <c r="S123" s="73"/>
      <c r="T123" s="73"/>
      <c r="U123" s="73"/>
      <c r="V123" s="73"/>
    </row>
    <row r="124" spans="1:22">
      <c r="A124" s="60" t="s">
        <v>140</v>
      </c>
      <c r="B124" s="458" t="s">
        <v>118</v>
      </c>
      <c r="C124" s="459"/>
      <c r="D124" s="459"/>
      <c r="E124" s="459"/>
      <c r="F124" s="459"/>
      <c r="G124" s="459"/>
      <c r="H124" s="459"/>
      <c r="I124" s="459"/>
      <c r="J124" s="459"/>
      <c r="K124" s="473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2" s="53" customFormat="1">
      <c r="A125" s="96" t="s">
        <v>380</v>
      </c>
      <c r="B125" s="96"/>
      <c r="C125" s="140" t="s">
        <v>304</v>
      </c>
      <c r="D125" s="141" t="s">
        <v>27</v>
      </c>
      <c r="E125" s="47">
        <v>1</v>
      </c>
      <c r="F125" s="140"/>
      <c r="G125" s="140"/>
      <c r="H125" s="140"/>
      <c r="I125" s="140"/>
      <c r="J125" s="140"/>
      <c r="K125" s="21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1:22" s="91" customFormat="1" ht="15.75" customHeight="1">
      <c r="A126" s="306" t="s">
        <v>381</v>
      </c>
      <c r="B126" s="306"/>
      <c r="C126" s="307" t="s">
        <v>310</v>
      </c>
      <c r="D126" s="308" t="s">
        <v>27</v>
      </c>
      <c r="E126" s="54">
        <v>1</v>
      </c>
      <c r="F126" s="309"/>
      <c r="G126" s="307"/>
      <c r="H126" s="309"/>
      <c r="I126" s="307"/>
      <c r="J126" s="307"/>
      <c r="K126" s="310"/>
      <c r="L126" s="90"/>
      <c r="M126" s="90"/>
      <c r="N126" s="90"/>
      <c r="O126" s="90"/>
      <c r="P126" s="90"/>
      <c r="Q126" s="90"/>
      <c r="R126" s="90"/>
      <c r="S126" s="90"/>
      <c r="T126" s="90"/>
    </row>
    <row r="127" spans="1:22">
      <c r="A127" s="479" t="s">
        <v>141</v>
      </c>
      <c r="B127" s="480"/>
      <c r="C127" s="480"/>
      <c r="D127" s="480"/>
      <c r="E127" s="480"/>
      <c r="F127" s="480"/>
      <c r="G127" s="480"/>
      <c r="H127" s="480"/>
      <c r="I127" s="481"/>
      <c r="J127" s="23"/>
      <c r="K127" s="39"/>
    </row>
    <row r="128" spans="1:22">
      <c r="A128" s="60" t="s">
        <v>142</v>
      </c>
      <c r="B128" s="458" t="s">
        <v>7</v>
      </c>
      <c r="C128" s="459"/>
      <c r="D128" s="459"/>
      <c r="E128" s="459"/>
      <c r="F128" s="459"/>
      <c r="G128" s="459"/>
      <c r="H128" s="459"/>
      <c r="I128" s="459"/>
      <c r="J128" s="459"/>
      <c r="K128" s="473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1" s="53" customFormat="1" ht="24.75">
      <c r="A129" s="48" t="s">
        <v>143</v>
      </c>
      <c r="B129" s="197">
        <v>5974</v>
      </c>
      <c r="C129" s="58" t="s">
        <v>209</v>
      </c>
      <c r="D129" s="50" t="s">
        <v>29</v>
      </c>
      <c r="E129" s="47">
        <f>(E52+E53)*2</f>
        <v>128.80000000000001</v>
      </c>
      <c r="F129" s="47"/>
      <c r="G129" s="47"/>
      <c r="H129" s="47"/>
      <c r="I129" s="47"/>
      <c r="J129" s="47"/>
      <c r="K129" s="47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1" s="53" customFormat="1" ht="24.75">
      <c r="A130" s="48" t="s">
        <v>144</v>
      </c>
      <c r="B130" s="197">
        <v>5975</v>
      </c>
      <c r="C130" s="58" t="s">
        <v>210</v>
      </c>
      <c r="D130" s="50" t="s">
        <v>29</v>
      </c>
      <c r="E130" s="47">
        <f>E13/2</f>
        <v>2.8</v>
      </c>
      <c r="F130" s="47"/>
      <c r="G130" s="47"/>
      <c r="H130" s="47"/>
      <c r="I130" s="47"/>
      <c r="J130" s="47"/>
      <c r="K130" s="47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1:21" s="53" customFormat="1" ht="24.75">
      <c r="A131" s="48" t="s">
        <v>145</v>
      </c>
      <c r="B131" s="197">
        <v>5982</v>
      </c>
      <c r="C131" s="58" t="s">
        <v>211</v>
      </c>
      <c r="D131" s="50" t="s">
        <v>29</v>
      </c>
      <c r="E131" s="47">
        <f>E130</f>
        <v>2.8</v>
      </c>
      <c r="F131" s="47"/>
      <c r="G131" s="47"/>
      <c r="H131" s="47"/>
      <c r="I131" s="47"/>
      <c r="J131" s="47"/>
      <c r="K131" s="47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1:21" s="53" customFormat="1" ht="24.75">
      <c r="A132" s="48" t="s">
        <v>146</v>
      </c>
      <c r="B132" s="197">
        <v>5992</v>
      </c>
      <c r="C132" s="58" t="s">
        <v>212</v>
      </c>
      <c r="D132" s="50" t="s">
        <v>29</v>
      </c>
      <c r="E132" s="47">
        <f>E129</f>
        <v>128.80000000000001</v>
      </c>
      <c r="F132" s="47"/>
      <c r="G132" s="47"/>
      <c r="H132" s="47"/>
      <c r="I132" s="47"/>
      <c r="J132" s="47"/>
      <c r="K132" s="47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1:21" s="53" customFormat="1" ht="24.75">
      <c r="A133" s="48" t="s">
        <v>149</v>
      </c>
      <c r="B133" s="197" t="s">
        <v>213</v>
      </c>
      <c r="C133" s="58" t="s">
        <v>214</v>
      </c>
      <c r="D133" s="50" t="s">
        <v>29</v>
      </c>
      <c r="E133" s="47">
        <f>(2.6*6.4)*1.1</f>
        <v>18.304000000000002</v>
      </c>
      <c r="F133" s="47"/>
      <c r="G133" s="47"/>
      <c r="H133" s="47"/>
      <c r="I133" s="47"/>
      <c r="J133" s="47"/>
      <c r="K133" s="47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1:21" s="53" customFormat="1" ht="15" customHeight="1">
      <c r="A134" s="48" t="s">
        <v>150</v>
      </c>
      <c r="B134" s="180">
        <v>9536</v>
      </c>
      <c r="C134" s="167" t="s">
        <v>507</v>
      </c>
      <c r="D134" s="165" t="s">
        <v>29</v>
      </c>
      <c r="E134" s="289">
        <f>1.36*2</f>
        <v>2.72</v>
      </c>
      <c r="F134" s="117"/>
      <c r="G134" s="117"/>
      <c r="H134" s="117"/>
      <c r="I134" s="117"/>
      <c r="J134" s="117"/>
      <c r="K134" s="47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1" s="53" customFormat="1" ht="15" customHeight="1">
      <c r="A135" s="48" t="s">
        <v>382</v>
      </c>
      <c r="B135" s="197">
        <v>41602</v>
      </c>
      <c r="C135" s="58" t="s">
        <v>542</v>
      </c>
      <c r="D135" s="50" t="s">
        <v>29</v>
      </c>
      <c r="E135" s="47">
        <f>E130</f>
        <v>2.8</v>
      </c>
      <c r="F135" s="47"/>
      <c r="G135" s="117"/>
      <c r="H135" s="47"/>
      <c r="I135" s="117"/>
      <c r="J135" s="117"/>
      <c r="K135" s="47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1:21" s="53" customFormat="1" ht="15" customHeight="1">
      <c r="A136" s="48"/>
      <c r="B136" s="197" t="s">
        <v>840</v>
      </c>
      <c r="C136" s="58" t="s">
        <v>841</v>
      </c>
      <c r="D136" s="50" t="s">
        <v>29</v>
      </c>
      <c r="E136" s="220">
        <v>5.6</v>
      </c>
      <c r="F136" s="47"/>
      <c r="G136" s="117"/>
      <c r="H136" s="47"/>
      <c r="I136" s="117"/>
      <c r="J136" s="117"/>
      <c r="K136" s="47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1:21" s="53" customFormat="1" ht="24.95" customHeight="1">
      <c r="A137" s="48" t="s">
        <v>383</v>
      </c>
      <c r="B137" s="197" t="s">
        <v>215</v>
      </c>
      <c r="C137" s="181" t="s">
        <v>216</v>
      </c>
      <c r="D137" s="50" t="s">
        <v>29</v>
      </c>
      <c r="E137" s="47">
        <f>(E130*2)*1.1</f>
        <v>6.16</v>
      </c>
      <c r="F137" s="47"/>
      <c r="G137" s="47"/>
      <c r="H137" s="47"/>
      <c r="I137" s="47"/>
      <c r="J137" s="47"/>
      <c r="K137" s="47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1:21" s="53" customFormat="1">
      <c r="A138" s="48" t="s">
        <v>388</v>
      </c>
      <c r="B138" s="197" t="s">
        <v>217</v>
      </c>
      <c r="C138" s="193" t="s">
        <v>218</v>
      </c>
      <c r="D138" s="50" t="s">
        <v>28</v>
      </c>
      <c r="E138" s="47">
        <f>(0.5+3.4)*1.1</f>
        <v>4.29</v>
      </c>
      <c r="F138" s="47"/>
      <c r="G138" s="47"/>
      <c r="H138" s="47"/>
      <c r="I138" s="47"/>
      <c r="J138" s="47"/>
      <c r="K138" s="47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21" s="53" customFormat="1">
      <c r="A139" s="48" t="s">
        <v>475</v>
      </c>
      <c r="B139" s="197" t="s">
        <v>219</v>
      </c>
      <c r="C139" s="194" t="s">
        <v>220</v>
      </c>
      <c r="D139" s="50" t="s">
        <v>28</v>
      </c>
      <c r="E139" s="47">
        <f>(3*0.7)*1.1</f>
        <v>2.3099999999999996</v>
      </c>
      <c r="F139" s="47"/>
      <c r="G139" s="47"/>
      <c r="H139" s="47"/>
      <c r="I139" s="47"/>
      <c r="J139" s="47"/>
      <c r="K139" s="47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21" s="53" customFormat="1" ht="24.95" customHeight="1">
      <c r="A140" s="48" t="s">
        <v>504</v>
      </c>
      <c r="B140" s="197" t="s">
        <v>221</v>
      </c>
      <c r="C140" s="58" t="s">
        <v>222</v>
      </c>
      <c r="D140" s="50" t="s">
        <v>28</v>
      </c>
      <c r="E140" s="47">
        <f>6.4*1*1</f>
        <v>6.4</v>
      </c>
      <c r="F140" s="47"/>
      <c r="G140" s="47"/>
      <c r="H140" s="47"/>
      <c r="I140" s="47"/>
      <c r="J140" s="47"/>
      <c r="K140" s="47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21">
      <c r="A141" s="479" t="s">
        <v>151</v>
      </c>
      <c r="B141" s="480"/>
      <c r="C141" s="480"/>
      <c r="D141" s="480"/>
      <c r="E141" s="480"/>
      <c r="F141" s="480"/>
      <c r="G141" s="480"/>
      <c r="H141" s="480"/>
      <c r="I141" s="481"/>
      <c r="J141" s="22"/>
      <c r="K141" s="22"/>
      <c r="L141" s="77"/>
      <c r="M141" s="11"/>
      <c r="N141" s="11"/>
      <c r="O141" s="11"/>
      <c r="P141" s="11"/>
      <c r="Q141" s="11"/>
      <c r="R141" s="11"/>
      <c r="S141" s="11"/>
      <c r="T141" s="11"/>
    </row>
    <row r="142" spans="1:21" s="74" customFormat="1">
      <c r="A142" s="70" t="s">
        <v>132</v>
      </c>
      <c r="B142" s="448" t="s">
        <v>133</v>
      </c>
      <c r="C142" s="449"/>
      <c r="D142" s="449"/>
      <c r="E142" s="449"/>
      <c r="F142" s="449"/>
      <c r="G142" s="449"/>
      <c r="H142" s="449"/>
      <c r="I142" s="449"/>
      <c r="J142" s="449"/>
      <c r="K142" s="449"/>
      <c r="L142" s="78"/>
      <c r="M142" s="73"/>
      <c r="N142" s="73"/>
      <c r="O142" s="73"/>
      <c r="P142" s="73"/>
      <c r="Q142" s="73"/>
      <c r="R142" s="73"/>
      <c r="S142" s="73"/>
      <c r="T142" s="73"/>
      <c r="U142" s="73"/>
    </row>
    <row r="143" spans="1:21" s="81" customFormat="1">
      <c r="A143" s="80" t="s">
        <v>134</v>
      </c>
      <c r="B143" s="211">
        <v>72120</v>
      </c>
      <c r="C143" s="200" t="s">
        <v>224</v>
      </c>
      <c r="D143" s="92" t="s">
        <v>29</v>
      </c>
      <c r="E143" s="47">
        <f>E57</f>
        <v>4.8600000000000003</v>
      </c>
      <c r="F143" s="47"/>
      <c r="G143" s="47"/>
      <c r="H143" s="47"/>
      <c r="I143" s="47"/>
      <c r="J143" s="47"/>
      <c r="K143" s="47"/>
      <c r="L143" s="78"/>
      <c r="M143" s="73"/>
      <c r="N143" s="73"/>
      <c r="O143" s="73"/>
      <c r="P143" s="73"/>
      <c r="Q143" s="73"/>
      <c r="R143" s="73"/>
      <c r="S143" s="73"/>
      <c r="T143" s="73"/>
      <c r="U143" s="73"/>
    </row>
    <row r="144" spans="1:21" s="81" customFormat="1">
      <c r="A144" s="80" t="s">
        <v>135</v>
      </c>
      <c r="B144" s="211">
        <v>72122</v>
      </c>
      <c r="C144" s="200" t="s">
        <v>688</v>
      </c>
      <c r="D144" s="92" t="s">
        <v>29</v>
      </c>
      <c r="E144" s="47">
        <f>0.5*0.6</f>
        <v>0.3</v>
      </c>
      <c r="F144" s="47"/>
      <c r="G144" s="47"/>
      <c r="H144" s="47"/>
      <c r="I144" s="47"/>
      <c r="J144" s="47"/>
      <c r="K144" s="47"/>
      <c r="L144" s="78"/>
      <c r="M144" s="73"/>
      <c r="N144" s="73"/>
      <c r="O144" s="73"/>
      <c r="P144" s="73"/>
      <c r="Q144" s="73"/>
      <c r="R144" s="73"/>
      <c r="S144" s="73"/>
      <c r="T144" s="73"/>
      <c r="U144" s="73"/>
    </row>
    <row r="145" spans="1:22" s="74" customFormat="1">
      <c r="A145" s="450" t="s">
        <v>137</v>
      </c>
      <c r="B145" s="451"/>
      <c r="C145" s="451"/>
      <c r="D145" s="451"/>
      <c r="E145" s="451"/>
      <c r="F145" s="451"/>
      <c r="G145" s="451"/>
      <c r="H145" s="451"/>
      <c r="I145" s="452"/>
      <c r="J145" s="22"/>
      <c r="K145" s="22"/>
      <c r="L145" s="79"/>
      <c r="M145" s="73"/>
      <c r="N145" s="73"/>
      <c r="O145" s="73"/>
      <c r="P145" s="73"/>
      <c r="Q145" s="73"/>
      <c r="R145" s="73"/>
      <c r="S145" s="73"/>
      <c r="T145" s="73"/>
      <c r="U145" s="73"/>
    </row>
    <row r="146" spans="1:22" s="53" customFormat="1">
      <c r="A146" s="60" t="s">
        <v>152</v>
      </c>
      <c r="B146" s="453" t="s">
        <v>67</v>
      </c>
      <c r="C146" s="454"/>
      <c r="D146" s="454"/>
      <c r="E146" s="454"/>
      <c r="F146" s="454"/>
      <c r="G146" s="454"/>
      <c r="H146" s="454"/>
      <c r="I146" s="454"/>
      <c r="J146" s="454"/>
      <c r="K146" s="455"/>
      <c r="L146" s="77"/>
      <c r="M146" s="11"/>
      <c r="N146" s="11"/>
      <c r="O146" s="11"/>
      <c r="P146" s="11"/>
      <c r="Q146" s="11"/>
      <c r="R146" s="11"/>
      <c r="S146" s="11"/>
      <c r="T146" s="11"/>
    </row>
    <row r="147" spans="1:22" s="53" customFormat="1">
      <c r="A147" s="48" t="s">
        <v>153</v>
      </c>
      <c r="B147" s="195" t="s">
        <v>234</v>
      </c>
      <c r="C147" s="76" t="s">
        <v>235</v>
      </c>
      <c r="D147" s="50" t="s">
        <v>29</v>
      </c>
      <c r="E147" s="47">
        <f>E129+E130-(E133/1.1)</f>
        <v>114.96000000000002</v>
      </c>
      <c r="F147" s="47"/>
      <c r="G147" s="47"/>
      <c r="H147" s="47"/>
      <c r="I147" s="47"/>
      <c r="J147" s="47"/>
      <c r="K147" s="47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1:22" s="53" customFormat="1">
      <c r="A148" s="48" t="s">
        <v>154</v>
      </c>
      <c r="B148" s="195" t="s">
        <v>236</v>
      </c>
      <c r="C148" s="76" t="s">
        <v>237</v>
      </c>
      <c r="D148" s="50" t="s">
        <v>29</v>
      </c>
      <c r="E148" s="47">
        <f>E147</f>
        <v>114.96000000000002</v>
      </c>
      <c r="F148" s="47"/>
      <c r="G148" s="47"/>
      <c r="H148" s="47"/>
      <c r="I148" s="47"/>
      <c r="J148" s="47"/>
      <c r="K148" s="47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1:22" s="53" customFormat="1">
      <c r="A149" s="48" t="s">
        <v>155</v>
      </c>
      <c r="B149" s="166" t="s">
        <v>509</v>
      </c>
      <c r="C149" s="76" t="s">
        <v>510</v>
      </c>
      <c r="D149" s="165" t="s">
        <v>29</v>
      </c>
      <c r="E149" s="117">
        <f>E134*1.15</f>
        <v>3.1280000000000001</v>
      </c>
      <c r="F149" s="117"/>
      <c r="G149" s="117"/>
      <c r="H149" s="117"/>
      <c r="I149" s="117"/>
      <c r="J149" s="117"/>
      <c r="K149" s="47"/>
      <c r="L149" s="11"/>
      <c r="M149" s="11"/>
      <c r="N149" s="11"/>
      <c r="O149" s="11"/>
      <c r="P149" s="11"/>
      <c r="Q149" s="11"/>
      <c r="R149" s="11"/>
      <c r="S149" s="11"/>
      <c r="T149" s="11"/>
    </row>
    <row r="150" spans="1:22" s="53" customFormat="1">
      <c r="A150" s="48" t="s">
        <v>476</v>
      </c>
      <c r="B150" s="197">
        <v>6082</v>
      </c>
      <c r="C150" s="76" t="s">
        <v>238</v>
      </c>
      <c r="D150" s="50" t="s">
        <v>29</v>
      </c>
      <c r="E150" s="47">
        <f>0.7*2.1*3*2</f>
        <v>8.82</v>
      </c>
      <c r="F150" s="47"/>
      <c r="G150" s="47"/>
      <c r="H150" s="47"/>
      <c r="I150" s="47"/>
      <c r="J150" s="47"/>
      <c r="K150" s="47"/>
      <c r="L150" s="11"/>
      <c r="M150" s="11"/>
      <c r="N150" s="11"/>
      <c r="O150" s="11"/>
      <c r="P150" s="11"/>
      <c r="Q150" s="11"/>
      <c r="R150" s="11"/>
      <c r="S150" s="11"/>
      <c r="T150" s="11"/>
    </row>
    <row r="151" spans="1:22" s="53" customFormat="1">
      <c r="A151" s="479" t="s">
        <v>156</v>
      </c>
      <c r="B151" s="480"/>
      <c r="C151" s="480"/>
      <c r="D151" s="480"/>
      <c r="E151" s="480"/>
      <c r="F151" s="480"/>
      <c r="G151" s="480"/>
      <c r="H151" s="480"/>
      <c r="I151" s="481"/>
      <c r="J151" s="23"/>
      <c r="K151" s="23"/>
      <c r="L151" s="77"/>
      <c r="M151" s="11"/>
      <c r="N151" s="11"/>
      <c r="O151" s="11"/>
      <c r="P151" s="11"/>
      <c r="Q151" s="11"/>
      <c r="R151" s="11"/>
      <c r="S151" s="11"/>
      <c r="T151" s="11"/>
    </row>
    <row r="152" spans="1:22" s="74" customFormat="1">
      <c r="A152" s="70" t="s">
        <v>158</v>
      </c>
      <c r="B152" s="477" t="s">
        <v>120</v>
      </c>
      <c r="C152" s="478"/>
      <c r="D152" s="478"/>
      <c r="E152" s="478"/>
      <c r="F152" s="478"/>
      <c r="G152" s="478"/>
      <c r="H152" s="478"/>
      <c r="I152" s="478"/>
      <c r="J152" s="478"/>
      <c r="K152" s="478"/>
      <c r="L152" s="78"/>
      <c r="M152" s="73"/>
      <c r="N152" s="73"/>
      <c r="O152" s="73"/>
      <c r="P152" s="73"/>
      <c r="Q152" s="73"/>
      <c r="R152" s="73"/>
      <c r="S152" s="73"/>
      <c r="T152" s="73"/>
      <c r="U152" s="73"/>
      <c r="V152" s="73"/>
    </row>
    <row r="153" spans="1:22" s="74" customFormat="1">
      <c r="A153" s="70" t="s">
        <v>157</v>
      </c>
      <c r="B153" s="241" t="s">
        <v>440</v>
      </c>
      <c r="C153" s="122" t="s">
        <v>531</v>
      </c>
      <c r="D153" s="123" t="s">
        <v>29</v>
      </c>
      <c r="E153" s="117">
        <f>12.8-5.6</f>
        <v>7.2000000000000011</v>
      </c>
      <c r="F153" s="242"/>
      <c r="G153" s="117"/>
      <c r="H153" s="117"/>
      <c r="I153" s="117"/>
      <c r="J153" s="117"/>
      <c r="K153" s="117"/>
      <c r="L153" s="78"/>
      <c r="M153" s="73"/>
      <c r="N153" s="73"/>
      <c r="O153" s="73"/>
      <c r="P153" s="73"/>
      <c r="Q153" s="73"/>
      <c r="R153" s="73"/>
      <c r="S153" s="73"/>
      <c r="T153" s="73"/>
      <c r="U153" s="73"/>
      <c r="V153" s="73"/>
    </row>
    <row r="154" spans="1:22" s="74" customFormat="1">
      <c r="A154" s="462" t="s">
        <v>161</v>
      </c>
      <c r="B154" s="463"/>
      <c r="C154" s="463"/>
      <c r="D154" s="463"/>
      <c r="E154" s="463"/>
      <c r="F154" s="463"/>
      <c r="G154" s="463"/>
      <c r="H154" s="463"/>
      <c r="I154" s="464"/>
      <c r="J154" s="23"/>
      <c r="K154" s="23"/>
      <c r="L154" s="79"/>
      <c r="M154" s="73"/>
      <c r="N154" s="73"/>
      <c r="O154" s="73"/>
      <c r="P154" s="73"/>
      <c r="Q154" s="73"/>
      <c r="R154" s="73"/>
      <c r="S154" s="73"/>
      <c r="T154" s="73"/>
      <c r="U154" s="73"/>
      <c r="V154" s="73"/>
    </row>
    <row r="155" spans="1:22">
      <c r="A155" s="60" t="s">
        <v>119</v>
      </c>
      <c r="B155" s="458" t="s">
        <v>25</v>
      </c>
      <c r="C155" s="459"/>
      <c r="D155" s="459"/>
      <c r="E155" s="459"/>
      <c r="F155" s="459"/>
      <c r="G155" s="459"/>
      <c r="H155" s="459"/>
      <c r="I155" s="459"/>
      <c r="J155" s="459"/>
      <c r="K155" s="459"/>
      <c r="L155" s="83"/>
    </row>
    <row r="156" spans="1:22" s="53" customFormat="1">
      <c r="A156" s="48" t="s">
        <v>121</v>
      </c>
      <c r="B156" s="197">
        <v>9537</v>
      </c>
      <c r="C156" s="11" t="s">
        <v>239</v>
      </c>
      <c r="D156" s="50" t="s">
        <v>29</v>
      </c>
      <c r="E156" s="47">
        <f>E13*2</f>
        <v>11.2</v>
      </c>
      <c r="F156" s="47"/>
      <c r="G156" s="47"/>
      <c r="H156" s="47"/>
      <c r="I156" s="47"/>
      <c r="J156" s="47"/>
      <c r="K156" s="47"/>
    </row>
    <row r="157" spans="1:22">
      <c r="A157" s="479" t="s">
        <v>124</v>
      </c>
      <c r="B157" s="480"/>
      <c r="C157" s="480"/>
      <c r="D157" s="480"/>
      <c r="E157" s="480"/>
      <c r="F157" s="480"/>
      <c r="G157" s="480"/>
      <c r="H157" s="480"/>
      <c r="I157" s="481"/>
      <c r="J157" s="23"/>
      <c r="K157" s="39"/>
    </row>
    <row r="158" spans="1:22" s="26" customFormat="1">
      <c r="A158" s="20"/>
      <c r="B158" s="75"/>
      <c r="C158" s="460"/>
      <c r="D158" s="460"/>
      <c r="E158" s="460"/>
      <c r="F158" s="460"/>
      <c r="G158" s="460"/>
      <c r="H158" s="460"/>
      <c r="I158" s="460"/>
      <c r="J158" s="460"/>
      <c r="K158" s="461"/>
    </row>
    <row r="159" spans="1:22" s="69" customFormat="1" ht="15.75">
      <c r="A159" s="445" t="s">
        <v>14</v>
      </c>
      <c r="B159" s="446"/>
      <c r="C159" s="446"/>
      <c r="D159" s="446"/>
      <c r="E159" s="446"/>
      <c r="F159" s="446"/>
      <c r="G159" s="446"/>
      <c r="H159" s="446"/>
      <c r="I159" s="447"/>
      <c r="J159" s="68"/>
      <c r="K159" s="68"/>
    </row>
    <row r="161" spans="1:10">
      <c r="H161" s="43"/>
      <c r="I161" s="12"/>
    </row>
    <row r="162" spans="1:10">
      <c r="I162" s="31"/>
    </row>
    <row r="164" spans="1:10">
      <c r="A164" s="28"/>
      <c r="B164" s="28"/>
      <c r="C164" s="28"/>
      <c r="D164" s="29"/>
      <c r="E164" s="30"/>
      <c r="F164" s="28"/>
      <c r="G164" s="28"/>
      <c r="H164" s="28"/>
      <c r="I164" s="28"/>
      <c r="J164" s="28"/>
    </row>
    <row r="165" spans="1:10">
      <c r="A165" s="28"/>
      <c r="B165" s="28"/>
      <c r="C165" s="28"/>
      <c r="D165" s="29"/>
      <c r="E165" s="30"/>
      <c r="F165" s="28"/>
      <c r="G165" s="30"/>
      <c r="H165" s="28"/>
      <c r="I165" s="30"/>
      <c r="J165" s="30"/>
    </row>
    <row r="166" spans="1:10">
      <c r="A166" s="28"/>
      <c r="B166" s="28"/>
      <c r="C166" s="28"/>
      <c r="D166" s="29"/>
      <c r="E166" s="30"/>
      <c r="F166" s="28"/>
      <c r="G166" s="30"/>
      <c r="H166" s="28"/>
      <c r="I166" s="30"/>
      <c r="J166" s="30"/>
    </row>
    <row r="167" spans="1:10">
      <c r="A167" s="28"/>
      <c r="B167" s="28"/>
      <c r="C167" s="28"/>
      <c r="D167" s="29"/>
      <c r="E167" s="30"/>
      <c r="F167" s="28"/>
      <c r="G167" s="30"/>
      <c r="H167" s="28"/>
      <c r="I167" s="30"/>
      <c r="J167" s="30"/>
    </row>
    <row r="168" spans="1:10">
      <c r="A168" s="28"/>
      <c r="B168" s="28"/>
      <c r="C168" s="28"/>
      <c r="D168" s="29"/>
      <c r="E168" s="30"/>
      <c r="F168" s="28"/>
      <c r="G168" s="30"/>
      <c r="H168" s="28"/>
      <c r="I168" s="30"/>
      <c r="J168" s="30"/>
    </row>
    <row r="169" spans="1:10">
      <c r="A169" s="28"/>
      <c r="B169" s="28"/>
      <c r="C169" s="28"/>
      <c r="D169" s="29"/>
      <c r="E169" s="30"/>
      <c r="F169" s="28"/>
      <c r="G169" s="30"/>
      <c r="H169" s="28"/>
      <c r="I169" s="30"/>
      <c r="J169" s="30"/>
    </row>
    <row r="170" spans="1:10">
      <c r="A170" s="28"/>
      <c r="B170" s="28"/>
      <c r="C170" s="28"/>
      <c r="D170" s="29"/>
      <c r="E170" s="30"/>
      <c r="F170" s="28"/>
      <c r="G170" s="30"/>
      <c r="H170" s="28"/>
      <c r="I170" s="30"/>
      <c r="J170" s="30"/>
    </row>
    <row r="171" spans="1:10">
      <c r="A171" s="28"/>
      <c r="B171" s="28"/>
      <c r="C171" s="28"/>
      <c r="D171" s="29"/>
      <c r="E171" s="30"/>
      <c r="F171" s="28"/>
      <c r="G171" s="30"/>
      <c r="H171" s="28"/>
      <c r="I171" s="30"/>
      <c r="J171" s="30"/>
    </row>
    <row r="172" spans="1:10">
      <c r="A172" s="28"/>
      <c r="B172" s="28"/>
      <c r="C172" s="28"/>
      <c r="D172" s="29"/>
      <c r="E172" s="30"/>
      <c r="F172" s="28"/>
      <c r="G172" s="30"/>
      <c r="H172" s="28"/>
      <c r="I172" s="30"/>
      <c r="J172" s="30"/>
    </row>
    <row r="173" spans="1:10">
      <c r="A173" s="31"/>
      <c r="B173" s="31"/>
      <c r="C173" s="31"/>
      <c r="D173" s="32"/>
      <c r="E173" s="45"/>
      <c r="F173" s="31"/>
      <c r="G173" s="31"/>
      <c r="H173" s="31"/>
      <c r="I173" s="31"/>
      <c r="J173" s="31"/>
    </row>
    <row r="174" spans="1:10">
      <c r="A174" s="28"/>
      <c r="B174" s="28"/>
      <c r="C174" s="28"/>
      <c r="D174" s="29"/>
      <c r="E174" s="30"/>
      <c r="F174" s="28"/>
      <c r="G174" s="30"/>
      <c r="H174" s="28"/>
      <c r="I174" s="30"/>
      <c r="J174" s="30"/>
    </row>
    <row r="175" spans="1:10">
      <c r="A175" s="28"/>
      <c r="B175" s="28"/>
      <c r="C175" s="28"/>
      <c r="D175" s="29"/>
      <c r="E175" s="30"/>
      <c r="F175" s="28"/>
      <c r="G175" s="30"/>
      <c r="H175" s="28"/>
      <c r="I175" s="30"/>
      <c r="J175" s="30"/>
    </row>
    <row r="176" spans="1:10">
      <c r="A176" s="28"/>
      <c r="B176" s="28"/>
      <c r="C176" s="28"/>
      <c r="D176" s="29"/>
      <c r="E176" s="30"/>
      <c r="F176" s="30"/>
      <c r="G176" s="30"/>
      <c r="H176" s="28"/>
      <c r="I176" s="30"/>
      <c r="J176" s="30"/>
    </row>
    <row r="177" spans="1:11">
      <c r="A177" s="28"/>
      <c r="B177" s="28"/>
      <c r="C177" s="28"/>
      <c r="D177" s="29"/>
      <c r="E177" s="30"/>
      <c r="F177" s="30"/>
      <c r="G177" s="30"/>
      <c r="H177" s="28"/>
      <c r="I177" s="30"/>
      <c r="J177" s="30"/>
    </row>
    <row r="178" spans="1:11">
      <c r="A178" s="28"/>
      <c r="B178" s="28"/>
      <c r="C178" s="28"/>
      <c r="D178" s="29"/>
      <c r="E178" s="30"/>
      <c r="F178" s="30"/>
      <c r="G178" s="30"/>
      <c r="H178" s="28"/>
      <c r="I178" s="30"/>
      <c r="J178" s="30"/>
    </row>
    <row r="179" spans="1:11">
      <c r="A179" s="28"/>
      <c r="B179" s="28"/>
      <c r="C179" s="28"/>
      <c r="D179" s="29"/>
      <c r="E179" s="30"/>
      <c r="F179" s="30"/>
      <c r="G179" s="30"/>
      <c r="H179" s="28"/>
      <c r="I179" s="30"/>
      <c r="J179" s="30"/>
    </row>
    <row r="180" spans="1:11">
      <c r="A180" s="28"/>
      <c r="B180" s="28"/>
      <c r="C180" s="28"/>
      <c r="D180" s="29"/>
      <c r="E180" s="30"/>
      <c r="F180" s="30"/>
      <c r="G180" s="30"/>
      <c r="H180" s="28"/>
      <c r="I180" s="30"/>
      <c r="J180" s="30"/>
    </row>
    <row r="181" spans="1:11">
      <c r="A181" s="28"/>
      <c r="B181" s="28"/>
      <c r="C181" s="28"/>
      <c r="D181" s="29"/>
      <c r="E181" s="30"/>
      <c r="F181" s="30"/>
      <c r="G181" s="30"/>
      <c r="H181" s="28"/>
      <c r="I181" s="30"/>
      <c r="J181" s="30"/>
    </row>
    <row r="182" spans="1:11">
      <c r="A182" s="28"/>
      <c r="B182" s="28"/>
      <c r="C182" s="28"/>
      <c r="D182" s="29"/>
      <c r="E182" s="30"/>
      <c r="F182" s="30"/>
      <c r="G182" s="30"/>
      <c r="H182" s="30"/>
      <c r="I182" s="30"/>
      <c r="J182" s="30"/>
    </row>
    <row r="183" spans="1:11">
      <c r="A183" s="28"/>
      <c r="B183" s="28"/>
      <c r="C183" s="28"/>
      <c r="D183" s="29"/>
      <c r="E183" s="30"/>
      <c r="F183" s="28"/>
      <c r="G183" s="30"/>
      <c r="H183" s="28"/>
      <c r="I183" s="30"/>
      <c r="J183" s="30"/>
    </row>
    <row r="184" spans="1:11">
      <c r="A184" s="28"/>
      <c r="B184" s="28"/>
      <c r="C184" s="28"/>
      <c r="D184" s="29"/>
      <c r="E184" s="30"/>
      <c r="F184" s="30"/>
      <c r="G184" s="30"/>
      <c r="H184" s="28"/>
      <c r="I184" s="30"/>
      <c r="J184" s="30"/>
    </row>
    <row r="185" spans="1:11">
      <c r="A185" s="28"/>
      <c r="B185" s="28"/>
      <c r="C185" s="28"/>
      <c r="D185" s="29"/>
      <c r="E185" s="30"/>
      <c r="F185" s="30"/>
      <c r="G185" s="30"/>
      <c r="H185" s="28"/>
      <c r="I185" s="30"/>
      <c r="J185" s="30"/>
    </row>
    <row r="186" spans="1:11">
      <c r="A186" s="28"/>
      <c r="B186" s="28"/>
      <c r="C186" s="28"/>
      <c r="D186" s="29"/>
      <c r="E186" s="30"/>
      <c r="F186" s="28"/>
      <c r="G186" s="30"/>
      <c r="H186" s="28"/>
      <c r="I186" s="30"/>
      <c r="J186" s="30"/>
      <c r="K186" s="26"/>
    </row>
    <row r="187" spans="1:11">
      <c r="A187" s="33"/>
      <c r="B187" s="33"/>
      <c r="C187" s="34"/>
      <c r="D187" s="35"/>
      <c r="E187" s="46"/>
      <c r="F187" s="33"/>
      <c r="G187" s="30"/>
      <c r="H187" s="33"/>
      <c r="I187" s="30"/>
      <c r="J187" s="30"/>
    </row>
    <row r="188" spans="1:11">
      <c r="A188" s="28"/>
      <c r="B188" s="28"/>
      <c r="C188" s="28"/>
      <c r="D188" s="29"/>
      <c r="E188" s="30"/>
      <c r="F188" s="28"/>
      <c r="G188" s="30"/>
      <c r="H188" s="28"/>
      <c r="I188" s="30"/>
      <c r="J188" s="30"/>
    </row>
    <row r="189" spans="1:11">
      <c r="A189" s="28"/>
      <c r="B189" s="28"/>
      <c r="C189" s="28"/>
      <c r="D189" s="29"/>
      <c r="E189" s="30"/>
      <c r="F189" s="28"/>
      <c r="G189" s="30"/>
      <c r="H189" s="28"/>
      <c r="I189" s="30"/>
      <c r="J189" s="30"/>
    </row>
    <row r="190" spans="1:11">
      <c r="A190" s="28"/>
      <c r="B190" s="28"/>
      <c r="C190" s="28"/>
      <c r="D190" s="29"/>
      <c r="E190" s="30"/>
      <c r="F190" s="28"/>
      <c r="G190" s="30"/>
      <c r="H190" s="28"/>
      <c r="I190" s="30"/>
      <c r="J190" s="30"/>
    </row>
    <row r="191" spans="1:11">
      <c r="A191" s="28"/>
      <c r="B191" s="28"/>
      <c r="C191" s="28"/>
      <c r="D191" s="29"/>
      <c r="E191" s="30"/>
      <c r="F191" s="28"/>
      <c r="G191" s="30"/>
      <c r="H191" s="28"/>
      <c r="I191" s="30"/>
      <c r="J191" s="30"/>
    </row>
    <row r="192" spans="1:11">
      <c r="A192" s="28"/>
      <c r="B192" s="28"/>
      <c r="C192" s="28"/>
      <c r="D192" s="29"/>
      <c r="E192" s="30"/>
      <c r="F192" s="30"/>
      <c r="G192" s="30"/>
      <c r="H192" s="30"/>
      <c r="I192" s="30"/>
      <c r="J192" s="30"/>
    </row>
    <row r="193" spans="1:11">
      <c r="A193" s="31"/>
      <c r="B193" s="31"/>
      <c r="C193" s="31"/>
      <c r="D193" s="32"/>
      <c r="E193" s="45"/>
      <c r="F193" s="31"/>
      <c r="G193" s="31"/>
      <c r="H193" s="31"/>
      <c r="I193" s="31"/>
      <c r="J193" s="31"/>
    </row>
    <row r="194" spans="1:11">
      <c r="A194" s="31"/>
      <c r="B194" s="31"/>
      <c r="C194" s="31"/>
    </row>
    <row r="195" spans="1:11">
      <c r="A195" s="28"/>
      <c r="B195" s="28"/>
      <c r="C195" s="29"/>
      <c r="D195" s="28"/>
      <c r="E195" s="30"/>
      <c r="F195" s="28"/>
      <c r="G195" s="28"/>
      <c r="H195" s="28"/>
      <c r="I195" s="28"/>
      <c r="J195" s="28"/>
      <c r="K195" s="12"/>
    </row>
    <row r="196" spans="1:11">
      <c r="A196" s="28"/>
      <c r="B196" s="28"/>
      <c r="C196" s="28"/>
      <c r="D196" s="29"/>
      <c r="E196" s="30"/>
      <c r="F196" s="30"/>
      <c r="G196" s="30"/>
      <c r="H196" s="30"/>
      <c r="I196" s="30"/>
      <c r="J196" s="30"/>
      <c r="K196" s="28"/>
    </row>
    <row r="197" spans="1:11">
      <c r="A197" s="28"/>
      <c r="B197" s="28"/>
      <c r="C197" s="28"/>
      <c r="D197" s="29"/>
      <c r="E197" s="30"/>
      <c r="F197" s="30"/>
      <c r="G197" s="30"/>
      <c r="H197" s="30"/>
      <c r="I197" s="30"/>
      <c r="J197" s="30"/>
      <c r="K197" s="28"/>
    </row>
    <row r="198" spans="1:11">
      <c r="A198" s="28"/>
      <c r="B198" s="28"/>
      <c r="C198" s="28"/>
      <c r="D198" s="29"/>
      <c r="E198" s="30"/>
      <c r="F198" s="30"/>
      <c r="G198" s="30"/>
      <c r="H198" s="30"/>
      <c r="I198" s="30"/>
      <c r="J198" s="30"/>
      <c r="K198" s="28"/>
    </row>
    <row r="199" spans="1:11">
      <c r="A199" s="28"/>
      <c r="B199" s="28"/>
      <c r="C199" s="28"/>
      <c r="D199" s="29"/>
      <c r="E199" s="30"/>
      <c r="F199" s="30"/>
      <c r="G199" s="30"/>
      <c r="H199" s="30"/>
      <c r="I199" s="30"/>
      <c r="J199" s="30"/>
      <c r="K199" s="28"/>
    </row>
    <row r="200" spans="1:11">
      <c r="A200" s="28"/>
      <c r="B200" s="28"/>
      <c r="C200" s="28"/>
      <c r="D200" s="29"/>
      <c r="E200" s="30"/>
      <c r="F200" s="30"/>
      <c r="G200" s="30"/>
      <c r="H200" s="30"/>
      <c r="I200" s="30"/>
      <c r="J200" s="30"/>
      <c r="K200" s="28"/>
    </row>
    <row r="201" spans="1:11">
      <c r="A201" s="28"/>
      <c r="B201" s="28"/>
      <c r="C201" s="28"/>
      <c r="D201" s="29"/>
      <c r="E201" s="30"/>
      <c r="F201" s="30"/>
      <c r="G201" s="30"/>
      <c r="H201" s="30"/>
      <c r="I201" s="30"/>
      <c r="J201" s="30"/>
      <c r="K201" s="28"/>
    </row>
    <row r="202" spans="1:11">
      <c r="A202" s="28"/>
      <c r="B202" s="28"/>
      <c r="C202" s="28"/>
      <c r="D202" s="29"/>
      <c r="E202" s="30"/>
      <c r="F202" s="30"/>
      <c r="G202" s="30"/>
      <c r="H202" s="30"/>
      <c r="I202" s="30"/>
      <c r="J202" s="30"/>
      <c r="K202" s="28"/>
    </row>
    <row r="203" spans="1:11">
      <c r="A203" s="28"/>
      <c r="B203" s="28"/>
      <c r="C203" s="28"/>
      <c r="D203" s="29"/>
      <c r="E203" s="30"/>
      <c r="F203" s="30"/>
      <c r="G203" s="30"/>
      <c r="H203" s="30"/>
      <c r="I203" s="30"/>
      <c r="J203" s="30"/>
      <c r="K203" s="28"/>
    </row>
    <row r="204" spans="1:11">
      <c r="A204" s="28"/>
      <c r="B204" s="28"/>
      <c r="C204" s="28"/>
      <c r="D204" s="29"/>
      <c r="E204" s="30"/>
      <c r="F204" s="30"/>
      <c r="G204" s="30"/>
      <c r="H204" s="30"/>
      <c r="I204" s="30"/>
      <c r="J204" s="30"/>
      <c r="K204" s="28"/>
    </row>
    <row r="205" spans="1:11">
      <c r="A205" s="28"/>
      <c r="B205" s="28"/>
      <c r="C205" s="28"/>
      <c r="D205" s="29"/>
      <c r="E205" s="30"/>
      <c r="F205" s="30"/>
      <c r="G205" s="30"/>
      <c r="H205" s="30"/>
      <c r="I205" s="30"/>
      <c r="J205" s="30"/>
      <c r="K205" s="28"/>
    </row>
    <row r="206" spans="1:11">
      <c r="A206" s="28"/>
      <c r="B206" s="28"/>
      <c r="C206" s="28"/>
      <c r="D206" s="29"/>
      <c r="E206" s="30"/>
      <c r="F206" s="30"/>
      <c r="G206" s="30"/>
      <c r="H206" s="30"/>
      <c r="I206" s="30"/>
      <c r="J206" s="30"/>
      <c r="K206" s="28"/>
    </row>
    <row r="207" spans="1:11">
      <c r="A207" s="28"/>
      <c r="B207" s="28"/>
      <c r="C207" s="28"/>
      <c r="D207" s="29"/>
      <c r="E207" s="30"/>
      <c r="F207" s="30"/>
      <c r="G207" s="30"/>
      <c r="H207" s="30"/>
      <c r="I207" s="30"/>
      <c r="J207" s="30"/>
      <c r="K207" s="28"/>
    </row>
    <row r="208" spans="1:11">
      <c r="A208" s="28"/>
      <c r="B208" s="28"/>
      <c r="C208" s="28"/>
      <c r="D208" s="29"/>
      <c r="E208" s="30"/>
      <c r="F208" s="30"/>
      <c r="G208" s="30"/>
      <c r="H208" s="30"/>
      <c r="I208" s="30"/>
      <c r="J208" s="30"/>
      <c r="K208" s="28"/>
    </row>
    <row r="209" spans="1:11">
      <c r="A209" s="28"/>
      <c r="B209" s="28"/>
      <c r="C209" s="28"/>
      <c r="D209" s="29"/>
      <c r="E209" s="30"/>
      <c r="F209" s="30"/>
      <c r="G209" s="30"/>
      <c r="H209" s="30"/>
      <c r="I209" s="30"/>
      <c r="J209" s="30"/>
      <c r="K209" s="28"/>
    </row>
    <row r="210" spans="1:11">
      <c r="A210" s="28"/>
      <c r="B210" s="28"/>
      <c r="C210" s="28"/>
      <c r="D210" s="29"/>
      <c r="E210" s="30"/>
      <c r="F210" s="30"/>
      <c r="G210" s="30"/>
      <c r="H210" s="30"/>
      <c r="I210" s="30"/>
      <c r="J210" s="30"/>
      <c r="K210" s="28"/>
    </row>
    <row r="211" spans="1:11">
      <c r="A211" s="28"/>
      <c r="B211" s="28"/>
      <c r="C211" s="28"/>
      <c r="D211" s="29"/>
      <c r="E211" s="30"/>
      <c r="F211" s="30"/>
      <c r="G211" s="30"/>
      <c r="H211" s="30"/>
      <c r="I211" s="30"/>
      <c r="J211" s="30"/>
      <c r="K211" s="28"/>
    </row>
    <row r="212" spans="1:11">
      <c r="A212" s="28"/>
      <c r="B212" s="28"/>
      <c r="C212" s="40"/>
      <c r="D212" s="29"/>
      <c r="E212" s="41"/>
      <c r="F212" s="30"/>
      <c r="G212" s="30"/>
      <c r="H212" s="30"/>
      <c r="I212" s="30"/>
      <c r="J212" s="30"/>
      <c r="K212" s="28"/>
    </row>
    <row r="213" spans="1:11">
      <c r="A213" s="28"/>
      <c r="B213" s="28"/>
      <c r="C213" s="40"/>
      <c r="D213" s="29"/>
      <c r="E213" s="41"/>
      <c r="F213" s="30"/>
      <c r="G213" s="30"/>
      <c r="H213" s="30"/>
      <c r="I213" s="30"/>
      <c r="J213" s="30"/>
      <c r="K213" s="28"/>
    </row>
    <row r="214" spans="1:11">
      <c r="A214" s="28"/>
      <c r="B214" s="28"/>
      <c r="C214" s="40"/>
      <c r="D214" s="29"/>
      <c r="E214" s="41"/>
      <c r="F214" s="30"/>
      <c r="G214" s="30"/>
      <c r="H214" s="30"/>
      <c r="I214" s="30"/>
      <c r="J214" s="30"/>
      <c r="K214" s="28"/>
    </row>
    <row r="215" spans="1:11">
      <c r="A215" s="28"/>
      <c r="B215" s="28"/>
      <c r="C215" s="40"/>
      <c r="D215" s="29"/>
      <c r="E215" s="41"/>
      <c r="F215" s="30"/>
      <c r="G215" s="30"/>
      <c r="H215" s="30"/>
      <c r="I215" s="30"/>
      <c r="J215" s="30"/>
      <c r="K215" s="28"/>
    </row>
    <row r="216" spans="1:11">
      <c r="A216" s="28"/>
      <c r="B216" s="28"/>
      <c r="C216" s="28"/>
      <c r="D216" s="29"/>
      <c r="E216" s="30"/>
      <c r="F216" s="30"/>
      <c r="G216" s="30"/>
      <c r="H216" s="30"/>
      <c r="I216" s="30"/>
      <c r="J216" s="30"/>
      <c r="K216" s="28"/>
    </row>
    <row r="217" spans="1:11">
      <c r="A217" s="28"/>
      <c r="B217" s="28"/>
      <c r="C217" s="28"/>
      <c r="D217" s="42"/>
      <c r="E217" s="30"/>
      <c r="F217" s="30"/>
      <c r="G217" s="30"/>
      <c r="H217" s="30"/>
      <c r="I217" s="30"/>
      <c r="J217" s="30"/>
      <c r="K217" s="28"/>
    </row>
    <row r="218" spans="1:11">
      <c r="A218" s="28"/>
      <c r="B218" s="28"/>
      <c r="C218" s="28"/>
      <c r="D218" s="29"/>
      <c r="E218" s="30"/>
      <c r="F218" s="30"/>
      <c r="G218" s="30"/>
      <c r="H218" s="30"/>
      <c r="I218" s="30"/>
      <c r="J218" s="30"/>
      <c r="K218" s="28"/>
    </row>
    <row r="219" spans="1:11">
      <c r="A219" s="28"/>
      <c r="B219" s="28"/>
      <c r="C219" s="28"/>
      <c r="D219" s="29"/>
      <c r="E219" s="30"/>
      <c r="F219" s="30"/>
      <c r="G219" s="30"/>
      <c r="H219" s="30"/>
      <c r="I219" s="30"/>
      <c r="J219" s="30"/>
      <c r="K219" s="28"/>
    </row>
    <row r="220" spans="1:11">
      <c r="A220" s="28"/>
      <c r="B220" s="28"/>
      <c r="C220" s="28"/>
      <c r="D220" s="29"/>
      <c r="E220" s="30"/>
      <c r="F220" s="30"/>
      <c r="G220" s="30"/>
      <c r="H220" s="30"/>
      <c r="I220" s="30"/>
      <c r="J220" s="30"/>
      <c r="K220" s="28"/>
    </row>
    <row r="221" spans="1:11">
      <c r="A221" s="28"/>
      <c r="B221" s="28"/>
      <c r="C221" s="28"/>
      <c r="D221" s="29"/>
      <c r="E221" s="30"/>
      <c r="F221" s="30"/>
      <c r="G221" s="30"/>
      <c r="H221" s="30"/>
      <c r="I221" s="30"/>
      <c r="J221" s="30"/>
      <c r="K221" s="28"/>
    </row>
    <row r="222" spans="1:11">
      <c r="A222" s="28"/>
      <c r="B222" s="28"/>
      <c r="C222" s="28"/>
      <c r="D222" s="29"/>
      <c r="E222" s="30"/>
      <c r="F222" s="30"/>
      <c r="G222" s="30"/>
      <c r="H222" s="30"/>
      <c r="I222" s="30"/>
      <c r="J222" s="30"/>
      <c r="K222" s="28"/>
    </row>
    <row r="223" spans="1:11">
      <c r="A223" s="28"/>
      <c r="B223" s="28"/>
      <c r="C223" s="28"/>
      <c r="D223" s="29"/>
      <c r="E223" s="30"/>
      <c r="F223" s="30"/>
      <c r="G223" s="30"/>
      <c r="H223" s="30"/>
      <c r="I223" s="30"/>
      <c r="J223" s="30"/>
      <c r="K223" s="28"/>
    </row>
    <row r="224" spans="1:11">
      <c r="A224" s="28"/>
      <c r="B224" s="28"/>
      <c r="C224" s="31"/>
      <c r="D224" s="29"/>
      <c r="E224" s="30"/>
      <c r="F224" s="30"/>
      <c r="G224" s="30"/>
      <c r="H224" s="30"/>
      <c r="I224" s="30"/>
      <c r="J224" s="30"/>
      <c r="K224" s="28"/>
    </row>
    <row r="225" spans="1:11">
      <c r="A225" s="28"/>
      <c r="B225" s="28"/>
      <c r="C225" s="28"/>
      <c r="D225" s="29"/>
      <c r="E225" s="30"/>
      <c r="F225" s="30"/>
      <c r="G225" s="30"/>
      <c r="H225" s="30"/>
      <c r="I225" s="30"/>
      <c r="J225" s="30"/>
      <c r="K225" s="28"/>
    </row>
    <row r="226" spans="1:11">
      <c r="A226" s="28"/>
      <c r="B226" s="28"/>
      <c r="C226" s="28"/>
      <c r="D226" s="29"/>
      <c r="E226" s="30"/>
      <c r="F226" s="30"/>
      <c r="G226" s="30"/>
      <c r="H226" s="30"/>
      <c r="I226" s="30"/>
      <c r="J226" s="30"/>
      <c r="K226" s="28"/>
    </row>
    <row r="227" spans="1:11">
      <c r="A227" s="28"/>
      <c r="B227" s="28"/>
      <c r="C227" s="28"/>
      <c r="D227" s="29"/>
      <c r="E227" s="30"/>
      <c r="F227" s="30"/>
      <c r="G227" s="30"/>
      <c r="H227" s="30"/>
      <c r="I227" s="30"/>
      <c r="J227" s="30"/>
      <c r="K227" s="28"/>
    </row>
    <row r="228" spans="1:11">
      <c r="A228" s="28"/>
      <c r="B228" s="28"/>
      <c r="C228" s="28"/>
      <c r="D228" s="29"/>
      <c r="E228" s="30"/>
      <c r="F228" s="30"/>
      <c r="G228" s="30"/>
      <c r="H228" s="30"/>
      <c r="I228" s="30"/>
      <c r="J228" s="30"/>
      <c r="K228" s="28"/>
    </row>
    <row r="229" spans="1:11">
      <c r="A229" s="28"/>
      <c r="B229" s="28"/>
      <c r="C229" s="28"/>
      <c r="D229" s="29"/>
      <c r="E229" s="30"/>
      <c r="F229" s="30"/>
      <c r="G229" s="30"/>
      <c r="H229" s="30"/>
      <c r="I229" s="30"/>
      <c r="J229" s="30"/>
      <c r="K229" s="28"/>
    </row>
    <row r="230" spans="1:11">
      <c r="A230" s="42"/>
      <c r="B230" s="42"/>
      <c r="C230" s="12"/>
      <c r="D230"/>
      <c r="G230" s="27"/>
    </row>
    <row r="231" spans="1:11">
      <c r="A231" s="42"/>
      <c r="B231" s="42"/>
      <c r="C231" s="12"/>
      <c r="D231"/>
    </row>
    <row r="232" spans="1:11">
      <c r="A232" s="1"/>
      <c r="B232" s="1"/>
      <c r="D232"/>
    </row>
  </sheetData>
  <mergeCells count="48">
    <mergeCell ref="A22:I22"/>
    <mergeCell ref="A1:K1"/>
    <mergeCell ref="D5:G5"/>
    <mergeCell ref="D7:G7"/>
    <mergeCell ref="A9:A10"/>
    <mergeCell ref="B9:B10"/>
    <mergeCell ref="C9:C10"/>
    <mergeCell ref="D9:D10"/>
    <mergeCell ref="E9:E10"/>
    <mergeCell ref="F9:G9"/>
    <mergeCell ref="H9:I9"/>
    <mergeCell ref="L9:O9"/>
    <mergeCell ref="P9:T9"/>
    <mergeCell ref="B11:K11"/>
    <mergeCell ref="A14:I14"/>
    <mergeCell ref="B15:K15"/>
    <mergeCell ref="A85:I85"/>
    <mergeCell ref="B23:K23"/>
    <mergeCell ref="A32:I32"/>
    <mergeCell ref="B33:K33"/>
    <mergeCell ref="A50:I50"/>
    <mergeCell ref="B51:K51"/>
    <mergeCell ref="A55:I55"/>
    <mergeCell ref="B56:K56"/>
    <mergeCell ref="A63:I63"/>
    <mergeCell ref="B64:K64"/>
    <mergeCell ref="A70:I70"/>
    <mergeCell ref="B71:K71"/>
    <mergeCell ref="A145:I145"/>
    <mergeCell ref="B86:K86"/>
    <mergeCell ref="A94:I94"/>
    <mergeCell ref="B95:K95"/>
    <mergeCell ref="A120:I120"/>
    <mergeCell ref="B121:K121"/>
    <mergeCell ref="A123:I123"/>
    <mergeCell ref="B124:K124"/>
    <mergeCell ref="A127:I127"/>
    <mergeCell ref="B128:K128"/>
    <mergeCell ref="A141:I141"/>
    <mergeCell ref="B142:K142"/>
    <mergeCell ref="C158:K158"/>
    <mergeCell ref="A159:I159"/>
    <mergeCell ref="B146:K146"/>
    <mergeCell ref="A151:I151"/>
    <mergeCell ref="B152:K152"/>
    <mergeCell ref="A154:I154"/>
    <mergeCell ref="B155:K155"/>
    <mergeCell ref="A157:I157"/>
  </mergeCells>
  <pageMargins left="0.51181102362204722" right="0.51181102362204722" top="0.78740157480314965" bottom="0.78740157480314965" header="0.31496062992125984" footer="0.31496062992125984"/>
  <pageSetup paperSize="9" scale="71" fitToHeight="10" orientation="landscape" r:id="rId1"/>
  <headerFooter>
    <oddFooter xml:space="preserve">&amp;LPOSTO DE OBSERVAÇÃO&amp;CPágina &amp;P de &amp;N&amp;R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4"/>
  <sheetViews>
    <sheetView zoomScale="90" zoomScaleNormal="90" workbookViewId="0">
      <pane ySplit="10" topLeftCell="A11" activePane="bottomLeft" state="frozen"/>
      <selection pane="bottomLeft" activeCell="A11" sqref="A11:XFD11"/>
    </sheetView>
  </sheetViews>
  <sheetFormatPr defaultRowHeight="15"/>
  <cols>
    <col min="1" max="1" width="5.7109375" style="2" customWidth="1"/>
    <col min="2" max="2" width="11.28515625" style="2" customWidth="1"/>
    <col min="3" max="3" width="63.7109375" customWidth="1"/>
    <col min="4" max="4" width="9.140625" style="1"/>
    <col min="5" max="5" width="10.7109375" style="27" customWidth="1"/>
    <col min="6" max="9" width="15.7109375" customWidth="1"/>
    <col min="10" max="11" width="13.140625" customWidth="1"/>
    <col min="12" max="12" width="9.42578125" bestFit="1" customWidth="1"/>
    <col min="14" max="14" width="12.5703125" customWidth="1"/>
    <col min="19" max="19" width="12.85546875" customWidth="1"/>
  </cols>
  <sheetData>
    <row r="1" spans="1:20" s="12" customFormat="1" ht="18.75">
      <c r="A1" s="490" t="s">
        <v>30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20">
      <c r="D2" s="3"/>
      <c r="E2" s="44"/>
      <c r="F2" s="1"/>
      <c r="G2" s="1"/>
      <c r="H2" s="1"/>
    </row>
    <row r="3" spans="1:20" ht="18.75">
      <c r="D3" s="51" t="s">
        <v>281</v>
      </c>
      <c r="E3" s="52"/>
      <c r="F3" s="52"/>
      <c r="G3" s="52"/>
      <c r="H3" s="6"/>
      <c r="J3" s="19"/>
      <c r="K3" s="17"/>
    </row>
    <row r="4" spans="1:20">
      <c r="D4" s="66" t="s">
        <v>511</v>
      </c>
      <c r="E4" s="67"/>
      <c r="F4" s="65"/>
      <c r="G4" s="65"/>
      <c r="H4" s="7"/>
      <c r="J4" s="18"/>
      <c r="K4" s="17"/>
    </row>
    <row r="5" spans="1:20">
      <c r="D5" s="491" t="s">
        <v>730</v>
      </c>
      <c r="E5" s="491"/>
      <c r="F5" s="491"/>
      <c r="G5" s="491"/>
      <c r="H5" s="7"/>
      <c r="J5" s="18"/>
      <c r="K5" s="17"/>
    </row>
    <row r="6" spans="1:20">
      <c r="D6" s="55" t="s">
        <v>729</v>
      </c>
      <c r="E6" s="55"/>
      <c r="F6" s="55"/>
      <c r="G6" s="55"/>
      <c r="H6" s="7"/>
      <c r="J6" s="18"/>
      <c r="K6" s="17"/>
    </row>
    <row r="7" spans="1:20">
      <c r="D7" s="491" t="s">
        <v>661</v>
      </c>
      <c r="E7" s="491"/>
      <c r="F7" s="491"/>
      <c r="G7" s="491"/>
      <c r="H7" s="7"/>
      <c r="J7" s="18"/>
      <c r="K7" s="17"/>
    </row>
    <row r="8" spans="1:20">
      <c r="J8" s="17"/>
      <c r="K8" s="17"/>
    </row>
    <row r="9" spans="1:20" s="12" customFormat="1">
      <c r="A9" s="471" t="s">
        <v>0</v>
      </c>
      <c r="B9" s="471" t="s">
        <v>125</v>
      </c>
      <c r="C9" s="471" t="s">
        <v>1</v>
      </c>
      <c r="D9" s="471" t="s">
        <v>2</v>
      </c>
      <c r="E9" s="500" t="s">
        <v>3</v>
      </c>
      <c r="F9" s="504" t="s">
        <v>22</v>
      </c>
      <c r="G9" s="505"/>
      <c r="H9" s="502" t="s">
        <v>23</v>
      </c>
      <c r="I9" s="503"/>
      <c r="J9" s="9" t="s">
        <v>19</v>
      </c>
      <c r="K9" s="16" t="s">
        <v>668</v>
      </c>
      <c r="L9" s="499"/>
      <c r="M9" s="499"/>
      <c r="N9" s="499"/>
      <c r="O9" s="499"/>
      <c r="P9" s="498"/>
      <c r="Q9" s="498"/>
      <c r="R9" s="498"/>
      <c r="S9" s="498"/>
      <c r="T9" s="498"/>
    </row>
    <row r="10" spans="1:20">
      <c r="A10" s="472"/>
      <c r="B10" s="472"/>
      <c r="C10" s="472"/>
      <c r="D10" s="472"/>
      <c r="E10" s="501"/>
      <c r="F10" s="85" t="s">
        <v>20</v>
      </c>
      <c r="G10" s="10" t="s">
        <v>21</v>
      </c>
      <c r="H10" s="10" t="s">
        <v>20</v>
      </c>
      <c r="I10" s="10" t="s">
        <v>21</v>
      </c>
      <c r="J10" s="10" t="s">
        <v>667</v>
      </c>
      <c r="K10" s="37">
        <f>E4</f>
        <v>0</v>
      </c>
      <c r="L10" s="14"/>
      <c r="M10" s="15"/>
      <c r="N10" s="15"/>
      <c r="O10" s="15"/>
      <c r="P10" s="14"/>
      <c r="Q10" s="14"/>
      <c r="R10" s="15"/>
      <c r="S10" s="15"/>
      <c r="T10" s="14"/>
    </row>
    <row r="11" spans="1:20">
      <c r="A11" s="60" t="s">
        <v>4</v>
      </c>
      <c r="B11" s="458" t="s">
        <v>24</v>
      </c>
      <c r="C11" s="459"/>
      <c r="D11" s="459"/>
      <c r="E11" s="459"/>
      <c r="F11" s="459"/>
      <c r="G11" s="459"/>
      <c r="H11" s="459"/>
      <c r="I11" s="459"/>
      <c r="J11" s="459"/>
      <c r="K11" s="473"/>
      <c r="L11" s="11"/>
      <c r="M11" s="11"/>
      <c r="N11" s="11"/>
      <c r="O11" s="11"/>
      <c r="P11" s="11"/>
      <c r="Q11" s="11"/>
      <c r="R11" s="11"/>
      <c r="S11" s="11"/>
      <c r="T11" s="11"/>
    </row>
    <row r="12" spans="1:20" s="53" customFormat="1">
      <c r="A12" s="48" t="s">
        <v>8</v>
      </c>
      <c r="B12" s="84">
        <v>73672</v>
      </c>
      <c r="C12" s="49" t="s">
        <v>163</v>
      </c>
      <c r="D12" s="50" t="s">
        <v>29</v>
      </c>
      <c r="E12" s="47">
        <v>180.67</v>
      </c>
      <c r="F12" s="47"/>
      <c r="G12" s="47"/>
      <c r="H12" s="47"/>
      <c r="I12" s="47"/>
      <c r="J12" s="47"/>
      <c r="K12" s="47"/>
      <c r="L12" s="11"/>
      <c r="M12" s="11"/>
      <c r="N12" s="11"/>
      <c r="O12" s="11"/>
      <c r="P12" s="11"/>
      <c r="Q12" s="11"/>
      <c r="R12" s="11"/>
      <c r="S12" s="11"/>
      <c r="T12" s="11"/>
    </row>
    <row r="13" spans="1:20" s="53" customFormat="1" ht="24.75">
      <c r="A13" s="48" t="s">
        <v>9</v>
      </c>
      <c r="B13" s="195" t="s">
        <v>176</v>
      </c>
      <c r="C13" s="58" t="s">
        <v>177</v>
      </c>
      <c r="D13" s="50" t="s">
        <v>29</v>
      </c>
      <c r="E13" s="47">
        <v>180.67</v>
      </c>
      <c r="F13" s="47"/>
      <c r="G13" s="47"/>
      <c r="H13" s="47"/>
      <c r="I13" s="47"/>
      <c r="J13" s="47"/>
      <c r="K13" s="47"/>
      <c r="L13" s="11"/>
      <c r="M13" s="11"/>
      <c r="N13" s="11"/>
      <c r="O13" s="11"/>
      <c r="P13" s="11"/>
      <c r="Q13" s="11"/>
      <c r="R13" s="11"/>
      <c r="S13" s="11"/>
      <c r="T13" s="11"/>
    </row>
    <row r="14" spans="1:20">
      <c r="A14" s="494" t="s">
        <v>15</v>
      </c>
      <c r="B14" s="494"/>
      <c r="C14" s="495"/>
      <c r="D14" s="495"/>
      <c r="E14" s="495"/>
      <c r="F14" s="495"/>
      <c r="G14" s="495"/>
      <c r="H14" s="495"/>
      <c r="I14" s="495"/>
      <c r="J14" s="22"/>
      <c r="K14" s="38"/>
      <c r="L14" s="11"/>
      <c r="M14" s="11"/>
      <c r="N14" s="11"/>
      <c r="O14" s="11"/>
      <c r="P14" s="11"/>
      <c r="Q14" s="11"/>
      <c r="R14" s="11"/>
      <c r="S14" s="11"/>
      <c r="T14" s="11"/>
    </row>
    <row r="15" spans="1:20">
      <c r="A15" s="60" t="s">
        <v>5</v>
      </c>
      <c r="B15" s="458" t="s">
        <v>103</v>
      </c>
      <c r="C15" s="459"/>
      <c r="D15" s="459"/>
      <c r="E15" s="459"/>
      <c r="F15" s="459"/>
      <c r="G15" s="459"/>
      <c r="H15" s="459"/>
      <c r="I15" s="459"/>
      <c r="J15" s="459"/>
      <c r="K15" s="473"/>
      <c r="L15" s="11"/>
      <c r="M15" s="11"/>
      <c r="N15" s="11"/>
      <c r="O15" s="11"/>
      <c r="P15" s="11"/>
      <c r="Q15" s="11"/>
      <c r="R15" s="11"/>
      <c r="S15" s="11"/>
      <c r="T15" s="11"/>
    </row>
    <row r="16" spans="1:20" s="91" customFormat="1">
      <c r="A16" s="137" t="s">
        <v>10</v>
      </c>
      <c r="B16" s="212" t="s">
        <v>178</v>
      </c>
      <c r="C16" s="247" t="s">
        <v>179</v>
      </c>
      <c r="D16" s="213" t="s">
        <v>47</v>
      </c>
      <c r="E16" s="54">
        <f>E12*1</f>
        <v>180.67</v>
      </c>
      <c r="F16" s="54"/>
      <c r="G16" s="54"/>
      <c r="H16" s="54"/>
      <c r="I16" s="54"/>
      <c r="J16" s="54"/>
      <c r="K16" s="54"/>
      <c r="L16" s="90"/>
      <c r="M16" s="90"/>
      <c r="N16" s="90"/>
      <c r="O16" s="90"/>
      <c r="P16" s="90"/>
      <c r="Q16" s="90"/>
      <c r="R16" s="90"/>
      <c r="S16" s="90"/>
      <c r="T16" s="90"/>
    </row>
    <row r="17" spans="1:20" s="91" customFormat="1">
      <c r="A17" s="137" t="s">
        <v>11</v>
      </c>
      <c r="B17" s="169" t="s">
        <v>493</v>
      </c>
      <c r="C17" s="232" t="s">
        <v>494</v>
      </c>
      <c r="D17" s="165" t="s">
        <v>29</v>
      </c>
      <c r="E17" s="117">
        <f>E12/3</f>
        <v>60.223333333333329</v>
      </c>
      <c r="F17" s="117"/>
      <c r="G17" s="117"/>
      <c r="H17" s="117"/>
      <c r="I17" s="117"/>
      <c r="J17" s="117"/>
      <c r="K17" s="54"/>
      <c r="L17" s="90"/>
      <c r="M17" s="90"/>
      <c r="N17" s="90"/>
      <c r="O17" s="90"/>
      <c r="P17" s="90"/>
      <c r="Q17" s="90"/>
      <c r="R17" s="90"/>
      <c r="S17" s="90"/>
      <c r="T17" s="90"/>
    </row>
    <row r="18" spans="1:20" s="91" customFormat="1">
      <c r="A18" s="137" t="s">
        <v>442</v>
      </c>
      <c r="B18" s="170" t="s">
        <v>826</v>
      </c>
      <c r="C18" s="232" t="s">
        <v>827</v>
      </c>
      <c r="D18" s="165" t="s">
        <v>47</v>
      </c>
      <c r="E18" s="117">
        <v>39.65</v>
      </c>
      <c r="F18" s="117"/>
      <c r="G18" s="117"/>
      <c r="H18" s="117"/>
      <c r="I18" s="117"/>
      <c r="J18" s="117"/>
      <c r="K18" s="54"/>
      <c r="L18" s="90"/>
      <c r="M18" s="90"/>
      <c r="N18" s="90"/>
      <c r="O18" s="90"/>
      <c r="P18" s="90"/>
      <c r="Q18" s="90"/>
      <c r="R18" s="90"/>
      <c r="S18" s="90"/>
      <c r="T18" s="90"/>
    </row>
    <row r="19" spans="1:20" s="91" customFormat="1">
      <c r="A19" s="137" t="s">
        <v>443</v>
      </c>
      <c r="B19" s="170" t="s">
        <v>828</v>
      </c>
      <c r="C19" s="232" t="s">
        <v>829</v>
      </c>
      <c r="D19" s="173" t="s">
        <v>29</v>
      </c>
      <c r="E19" s="117">
        <v>92.47</v>
      </c>
      <c r="F19" s="117"/>
      <c r="G19" s="117"/>
      <c r="H19" s="117"/>
      <c r="I19" s="117"/>
      <c r="J19" s="117"/>
      <c r="K19" s="54"/>
      <c r="L19" s="90"/>
      <c r="M19" s="90"/>
      <c r="N19" s="90"/>
      <c r="O19" s="90"/>
      <c r="P19" s="90"/>
      <c r="Q19" s="90"/>
      <c r="R19" s="90"/>
      <c r="S19" s="90"/>
      <c r="T19" s="90"/>
    </row>
    <row r="20" spans="1:20" s="91" customFormat="1" ht="24.75">
      <c r="A20" s="137" t="s">
        <v>444</v>
      </c>
      <c r="B20" s="170">
        <v>72915</v>
      </c>
      <c r="C20" s="232" t="s">
        <v>492</v>
      </c>
      <c r="D20" s="165" t="s">
        <v>47</v>
      </c>
      <c r="E20" s="117">
        <v>27.59</v>
      </c>
      <c r="F20" s="117"/>
      <c r="G20" s="117"/>
      <c r="H20" s="117"/>
      <c r="I20" s="117"/>
      <c r="J20" s="117"/>
      <c r="K20" s="54"/>
      <c r="L20" s="90"/>
      <c r="M20" s="90"/>
      <c r="N20" s="90"/>
      <c r="O20" s="90"/>
      <c r="P20" s="90"/>
      <c r="Q20" s="90"/>
      <c r="R20" s="90"/>
      <c r="S20" s="90"/>
      <c r="T20" s="90"/>
    </row>
    <row r="21" spans="1:20" s="155" customFormat="1" ht="14.25">
      <c r="A21" s="137" t="s">
        <v>445</v>
      </c>
      <c r="B21" s="170">
        <v>6430</v>
      </c>
      <c r="C21" s="232" t="s">
        <v>341</v>
      </c>
      <c r="D21" s="165" t="s">
        <v>47</v>
      </c>
      <c r="E21" s="117">
        <v>23.76</v>
      </c>
      <c r="F21" s="117"/>
      <c r="G21" s="117"/>
      <c r="H21" s="117"/>
      <c r="I21" s="117"/>
      <c r="J21" s="117"/>
      <c r="K21" s="54"/>
      <c r="L21" s="114"/>
      <c r="M21" s="114"/>
      <c r="N21" s="114"/>
      <c r="O21" s="114"/>
      <c r="P21" s="114"/>
      <c r="Q21" s="114"/>
      <c r="R21" s="114"/>
      <c r="S21" s="114"/>
      <c r="T21" s="114"/>
    </row>
    <row r="22" spans="1:20">
      <c r="A22" s="562" t="s">
        <v>16</v>
      </c>
      <c r="B22" s="562"/>
      <c r="C22" s="563"/>
      <c r="D22" s="563"/>
      <c r="E22" s="563"/>
      <c r="F22" s="563"/>
      <c r="G22" s="563"/>
      <c r="H22" s="563"/>
      <c r="I22" s="563"/>
      <c r="J22" s="22"/>
      <c r="K22" s="39"/>
      <c r="L22" s="11"/>
      <c r="M22" s="11"/>
      <c r="N22" s="11"/>
      <c r="O22" s="11"/>
      <c r="P22" s="11"/>
      <c r="Q22" s="11"/>
      <c r="R22" s="11"/>
      <c r="S22" s="11"/>
      <c r="T22" s="11"/>
    </row>
    <row r="23" spans="1:20">
      <c r="A23" s="60" t="s">
        <v>105</v>
      </c>
      <c r="B23" s="458" t="s">
        <v>106</v>
      </c>
      <c r="C23" s="459"/>
      <c r="D23" s="459"/>
      <c r="E23" s="459"/>
      <c r="F23" s="459"/>
      <c r="G23" s="459"/>
      <c r="H23" s="459"/>
      <c r="I23" s="459"/>
      <c r="J23" s="459"/>
      <c r="K23" s="473"/>
      <c r="L23" s="11"/>
      <c r="M23" s="11"/>
      <c r="N23" s="11"/>
      <c r="O23" s="11"/>
      <c r="P23" s="11"/>
      <c r="Q23" s="11"/>
      <c r="R23" s="11"/>
      <c r="S23" s="11"/>
      <c r="T23" s="11"/>
    </row>
    <row r="24" spans="1:20" s="53" customFormat="1">
      <c r="A24" s="48" t="s">
        <v>12</v>
      </c>
      <c r="B24" s="48"/>
      <c r="C24" s="234" t="s">
        <v>287</v>
      </c>
      <c r="D24" s="173" t="s">
        <v>29</v>
      </c>
      <c r="E24" s="172">
        <v>99.7</v>
      </c>
      <c r="F24" s="172"/>
      <c r="G24" s="172"/>
      <c r="H24" s="172"/>
      <c r="I24" s="172"/>
      <c r="J24" s="172"/>
      <c r="K24" s="172"/>
      <c r="L24" s="11"/>
      <c r="M24" s="11"/>
      <c r="N24" s="11"/>
      <c r="O24" s="11"/>
      <c r="P24" s="11"/>
      <c r="Q24" s="11"/>
      <c r="R24" s="11"/>
      <c r="S24" s="11"/>
      <c r="T24" s="11"/>
    </row>
    <row r="25" spans="1:20" s="53" customFormat="1">
      <c r="A25" s="48" t="s">
        <v>13</v>
      </c>
      <c r="B25" s="125" t="s">
        <v>904</v>
      </c>
      <c r="C25" s="234" t="s">
        <v>871</v>
      </c>
      <c r="D25" s="173" t="s">
        <v>47</v>
      </c>
      <c r="E25" s="172">
        <v>5.9</v>
      </c>
      <c r="F25" s="172"/>
      <c r="G25" s="172"/>
      <c r="H25" s="172"/>
      <c r="I25" s="172"/>
      <c r="J25" s="172"/>
      <c r="K25" s="172"/>
      <c r="L25" s="11"/>
      <c r="M25" s="11"/>
      <c r="N25" s="11"/>
      <c r="O25" s="11"/>
      <c r="P25" s="11"/>
      <c r="Q25" s="11"/>
      <c r="R25" s="11"/>
      <c r="S25" s="11"/>
      <c r="T25" s="11"/>
    </row>
    <row r="26" spans="1:20" s="53" customFormat="1">
      <c r="A26" s="48" t="s">
        <v>285</v>
      </c>
      <c r="B26" s="125" t="s">
        <v>905</v>
      </c>
      <c r="C26" s="234" t="s">
        <v>872</v>
      </c>
      <c r="D26" s="173" t="s">
        <v>47</v>
      </c>
      <c r="E26" s="172">
        <v>5.9</v>
      </c>
      <c r="F26" s="172"/>
      <c r="G26" s="172"/>
      <c r="H26" s="172"/>
      <c r="I26" s="172"/>
      <c r="J26" s="172"/>
      <c r="K26" s="172"/>
      <c r="L26" s="11"/>
      <c r="M26" s="11"/>
      <c r="N26" s="11"/>
      <c r="O26" s="11"/>
      <c r="P26" s="11"/>
      <c r="Q26" s="11"/>
      <c r="R26" s="11"/>
      <c r="S26" s="11"/>
      <c r="T26" s="11"/>
    </row>
    <row r="27" spans="1:20" s="53" customFormat="1">
      <c r="A27" s="48" t="s">
        <v>286</v>
      </c>
      <c r="B27" s="125"/>
      <c r="C27" s="234" t="s">
        <v>873</v>
      </c>
      <c r="D27" s="173" t="s">
        <v>47</v>
      </c>
      <c r="E27" s="172">
        <v>1.25</v>
      </c>
      <c r="F27" s="172"/>
      <c r="G27" s="172"/>
      <c r="H27" s="172"/>
      <c r="I27" s="172"/>
      <c r="J27" s="172"/>
      <c r="K27" s="172"/>
      <c r="L27" s="11"/>
      <c r="M27" s="11"/>
      <c r="N27" s="11"/>
      <c r="O27" s="11"/>
      <c r="P27" s="11"/>
      <c r="Q27" s="11"/>
      <c r="R27" s="11"/>
      <c r="S27" s="11"/>
      <c r="T27" s="11"/>
    </row>
    <row r="28" spans="1:20" s="53" customFormat="1">
      <c r="A28" s="48" t="s">
        <v>288</v>
      </c>
      <c r="B28" s="125"/>
      <c r="C28" s="234" t="s">
        <v>874</v>
      </c>
      <c r="D28" s="173" t="s">
        <v>47</v>
      </c>
      <c r="E28" s="172">
        <v>6.47</v>
      </c>
      <c r="F28" s="172"/>
      <c r="G28" s="172"/>
      <c r="H28" s="172"/>
      <c r="I28" s="172"/>
      <c r="J28" s="172"/>
      <c r="K28" s="172"/>
      <c r="L28" s="11"/>
      <c r="M28" s="11"/>
      <c r="N28" s="11"/>
      <c r="O28" s="11"/>
      <c r="P28" s="11"/>
      <c r="Q28" s="11"/>
      <c r="R28" s="11"/>
      <c r="S28" s="11"/>
      <c r="T28" s="11"/>
    </row>
    <row r="29" spans="1:20" s="53" customFormat="1">
      <c r="A29" s="48" t="s">
        <v>450</v>
      </c>
      <c r="B29" s="125" t="s">
        <v>905</v>
      </c>
      <c r="C29" s="234" t="s">
        <v>875</v>
      </c>
      <c r="D29" s="173" t="s">
        <v>47</v>
      </c>
      <c r="E29" s="172">
        <v>6.47</v>
      </c>
      <c r="F29" s="172"/>
      <c r="G29" s="172"/>
      <c r="H29" s="172"/>
      <c r="I29" s="172"/>
      <c r="J29" s="172"/>
      <c r="K29" s="172"/>
      <c r="L29" s="11"/>
      <c r="M29" s="11"/>
      <c r="N29" s="11"/>
      <c r="O29" s="11"/>
      <c r="P29" s="11"/>
      <c r="Q29" s="11"/>
      <c r="R29" s="11"/>
      <c r="S29" s="11"/>
      <c r="T29" s="11"/>
    </row>
    <row r="30" spans="1:20" s="53" customFormat="1">
      <c r="A30" s="48" t="s">
        <v>451</v>
      </c>
      <c r="B30" s="125"/>
      <c r="C30" s="234" t="s">
        <v>876</v>
      </c>
      <c r="D30" s="173" t="s">
        <v>29</v>
      </c>
      <c r="E30" s="172">
        <v>18.100000000000001</v>
      </c>
      <c r="F30" s="172"/>
      <c r="G30" s="172"/>
      <c r="H30" s="172"/>
      <c r="I30" s="172"/>
      <c r="J30" s="172"/>
      <c r="K30" s="172"/>
      <c r="L30" s="11"/>
      <c r="M30" s="11"/>
      <c r="N30" s="11"/>
      <c r="O30" s="11"/>
      <c r="P30" s="11"/>
      <c r="Q30" s="11"/>
      <c r="R30" s="11"/>
      <c r="S30" s="11"/>
      <c r="T30" s="11"/>
    </row>
    <row r="31" spans="1:20" s="53" customFormat="1" ht="24">
      <c r="A31" s="48" t="s">
        <v>452</v>
      </c>
      <c r="B31" s="415" t="s">
        <v>907</v>
      </c>
      <c r="C31" s="416" t="s">
        <v>877</v>
      </c>
      <c r="D31" s="173" t="s">
        <v>890</v>
      </c>
      <c r="E31" s="172">
        <v>192.4</v>
      </c>
      <c r="F31" s="172"/>
      <c r="G31" s="172"/>
      <c r="H31" s="172"/>
      <c r="I31" s="172"/>
      <c r="J31" s="172"/>
      <c r="K31" s="172"/>
      <c r="L31" s="11"/>
      <c r="M31" s="11"/>
      <c r="N31" s="11"/>
      <c r="O31" s="11"/>
      <c r="P31" s="11"/>
      <c r="Q31" s="11"/>
      <c r="R31" s="11"/>
      <c r="S31" s="11"/>
      <c r="T31" s="11"/>
    </row>
    <row r="32" spans="1:20">
      <c r="A32" s="479" t="s">
        <v>17</v>
      </c>
      <c r="B32" s="480"/>
      <c r="C32" s="480"/>
      <c r="D32" s="480"/>
      <c r="E32" s="480"/>
      <c r="F32" s="480"/>
      <c r="G32" s="480"/>
      <c r="H32" s="480"/>
      <c r="I32" s="481"/>
      <c r="J32" s="22"/>
      <c r="K32" s="22"/>
      <c r="L32" s="77"/>
      <c r="M32" s="11"/>
      <c r="N32" s="11"/>
      <c r="O32" s="11"/>
      <c r="P32" s="11"/>
      <c r="Q32" s="11"/>
      <c r="R32" s="11"/>
      <c r="S32" s="11"/>
      <c r="T32" s="11"/>
    </row>
    <row r="33" spans="1:22" s="74" customFormat="1">
      <c r="A33" s="70" t="s">
        <v>33</v>
      </c>
      <c r="B33" s="477" t="s">
        <v>107</v>
      </c>
      <c r="C33" s="478"/>
      <c r="D33" s="478"/>
      <c r="E33" s="478"/>
      <c r="F33" s="478"/>
      <c r="G33" s="478"/>
      <c r="H33" s="478"/>
      <c r="I33" s="478"/>
      <c r="J33" s="478"/>
      <c r="K33" s="478"/>
      <c r="L33" s="78"/>
      <c r="M33" s="73"/>
      <c r="N33" s="73"/>
      <c r="O33" s="73"/>
      <c r="P33" s="73"/>
      <c r="Q33" s="73"/>
      <c r="R33" s="73"/>
      <c r="S33" s="73"/>
      <c r="T33" s="73"/>
      <c r="U33" s="73"/>
      <c r="V33" s="73"/>
    </row>
    <row r="34" spans="1:22" s="419" customFormat="1">
      <c r="A34" s="414" t="s">
        <v>34</v>
      </c>
      <c r="B34" s="414"/>
      <c r="C34" s="333" t="s">
        <v>844</v>
      </c>
      <c r="D34" s="334" t="s">
        <v>47</v>
      </c>
      <c r="E34" s="417">
        <f>0.81+0.14+0.18</f>
        <v>1.1300000000000001</v>
      </c>
      <c r="F34" s="408"/>
      <c r="G34" s="408"/>
      <c r="H34" s="408"/>
      <c r="I34" s="408"/>
      <c r="J34" s="408"/>
      <c r="K34" s="417"/>
      <c r="L34" s="411"/>
      <c r="M34" s="398"/>
      <c r="N34" s="398"/>
      <c r="O34" s="398"/>
      <c r="P34" s="398"/>
      <c r="Q34" s="398"/>
      <c r="R34" s="398"/>
      <c r="S34" s="398"/>
      <c r="T34" s="398"/>
      <c r="U34" s="398"/>
      <c r="V34" s="398"/>
    </row>
    <row r="35" spans="1:22" s="419" customFormat="1">
      <c r="A35" s="414" t="s">
        <v>108</v>
      </c>
      <c r="B35" s="425" t="s">
        <v>830</v>
      </c>
      <c r="C35" s="333" t="s">
        <v>831</v>
      </c>
      <c r="D35" s="334" t="s">
        <v>47</v>
      </c>
      <c r="E35" s="417">
        <v>3.32</v>
      </c>
      <c r="F35" s="408"/>
      <c r="G35" s="408"/>
      <c r="H35" s="408"/>
      <c r="I35" s="408"/>
      <c r="J35" s="408"/>
      <c r="K35" s="417"/>
      <c r="L35" s="411"/>
      <c r="M35" s="398"/>
      <c r="N35" s="398"/>
      <c r="O35" s="398"/>
      <c r="P35" s="398"/>
      <c r="Q35" s="398"/>
      <c r="R35" s="398"/>
      <c r="S35" s="398"/>
      <c r="T35" s="398"/>
      <c r="U35" s="398"/>
      <c r="V35" s="398"/>
    </row>
    <row r="36" spans="1:22" s="419" customFormat="1">
      <c r="A36" s="414" t="s">
        <v>35</v>
      </c>
      <c r="B36" s="425" t="s">
        <v>832</v>
      </c>
      <c r="C36" s="333" t="s">
        <v>833</v>
      </c>
      <c r="D36" s="334" t="s">
        <v>834</v>
      </c>
      <c r="E36" s="417">
        <v>104.99</v>
      </c>
      <c r="F36" s="408"/>
      <c r="G36" s="408"/>
      <c r="H36" s="408"/>
      <c r="I36" s="408"/>
      <c r="J36" s="408"/>
      <c r="K36" s="417"/>
      <c r="L36" s="411"/>
      <c r="M36" s="398"/>
      <c r="N36" s="398"/>
      <c r="O36" s="398"/>
      <c r="P36" s="398"/>
      <c r="Q36" s="398"/>
      <c r="R36" s="398"/>
      <c r="S36" s="398"/>
      <c r="T36" s="398"/>
      <c r="U36" s="398"/>
      <c r="V36" s="398"/>
    </row>
    <row r="37" spans="1:22" s="419" customFormat="1">
      <c r="A37" s="414" t="s">
        <v>36</v>
      </c>
      <c r="B37" s="414"/>
      <c r="C37" s="333" t="s">
        <v>835</v>
      </c>
      <c r="D37" s="334" t="s">
        <v>29</v>
      </c>
      <c r="E37" s="417">
        <f>E135</f>
        <v>144.66999999999999</v>
      </c>
      <c r="F37" s="408"/>
      <c r="G37" s="408"/>
      <c r="H37" s="408"/>
      <c r="I37" s="408"/>
      <c r="J37" s="408"/>
      <c r="K37" s="417"/>
      <c r="L37" s="411"/>
      <c r="M37" s="398"/>
      <c r="N37" s="398"/>
      <c r="O37" s="398"/>
      <c r="P37" s="398"/>
      <c r="Q37" s="398"/>
      <c r="R37" s="398"/>
      <c r="S37" s="398"/>
      <c r="T37" s="398"/>
      <c r="U37" s="398"/>
      <c r="V37" s="398"/>
    </row>
    <row r="38" spans="1:22" s="419" customFormat="1" ht="24.75">
      <c r="A38" s="414" t="s">
        <v>37</v>
      </c>
      <c r="B38" s="414"/>
      <c r="C38" s="418" t="s">
        <v>878</v>
      </c>
      <c r="D38" s="334" t="s">
        <v>29</v>
      </c>
      <c r="E38" s="417">
        <v>64.3</v>
      </c>
      <c r="F38" s="408"/>
      <c r="G38" s="408"/>
      <c r="H38" s="408"/>
      <c r="I38" s="408"/>
      <c r="J38" s="409"/>
      <c r="K38" s="410"/>
      <c r="L38" s="411"/>
      <c r="M38" s="398"/>
      <c r="N38" s="398"/>
      <c r="O38" s="398"/>
      <c r="P38" s="398"/>
      <c r="Q38" s="398"/>
      <c r="R38" s="398"/>
      <c r="S38" s="398"/>
      <c r="T38" s="398"/>
      <c r="U38" s="398"/>
      <c r="V38" s="398"/>
    </row>
    <row r="39" spans="1:22" s="419" customFormat="1" ht="24.75">
      <c r="A39" s="414" t="s">
        <v>454</v>
      </c>
      <c r="B39" s="414"/>
      <c r="C39" s="418" t="s">
        <v>879</v>
      </c>
      <c r="D39" s="334" t="s">
        <v>29</v>
      </c>
      <c r="E39" s="417">
        <v>163.9</v>
      </c>
      <c r="F39" s="408"/>
      <c r="G39" s="408"/>
      <c r="H39" s="408"/>
      <c r="I39" s="408"/>
      <c r="J39" s="409"/>
      <c r="K39" s="410"/>
      <c r="L39" s="411"/>
      <c r="M39" s="398"/>
      <c r="N39" s="398"/>
      <c r="O39" s="398"/>
      <c r="P39" s="398"/>
      <c r="Q39" s="398"/>
      <c r="R39" s="398"/>
      <c r="S39" s="398"/>
      <c r="T39" s="398"/>
      <c r="U39" s="398"/>
      <c r="V39" s="398"/>
    </row>
    <row r="40" spans="1:22" s="419" customFormat="1">
      <c r="A40" s="414" t="s">
        <v>455</v>
      </c>
      <c r="B40" s="86" t="s">
        <v>904</v>
      </c>
      <c r="C40" s="333" t="s">
        <v>880</v>
      </c>
      <c r="D40" s="334" t="s">
        <v>47</v>
      </c>
      <c r="E40" s="417">
        <v>9.6999999999999993</v>
      </c>
      <c r="F40" s="408"/>
      <c r="G40" s="408"/>
      <c r="H40" s="408"/>
      <c r="I40" s="408"/>
      <c r="J40" s="409"/>
      <c r="K40" s="410"/>
      <c r="L40" s="411"/>
      <c r="M40" s="398"/>
      <c r="N40" s="398"/>
      <c r="O40" s="398"/>
      <c r="P40" s="398"/>
      <c r="Q40" s="398"/>
      <c r="R40" s="398"/>
      <c r="S40" s="398"/>
      <c r="T40" s="398"/>
      <c r="U40" s="398"/>
      <c r="V40" s="398"/>
    </row>
    <row r="41" spans="1:22" s="419" customFormat="1">
      <c r="A41" s="414" t="s">
        <v>456</v>
      </c>
      <c r="B41" s="414" t="s">
        <v>906</v>
      </c>
      <c r="C41" s="333" t="s">
        <v>881</v>
      </c>
      <c r="D41" s="334" t="s">
        <v>47</v>
      </c>
      <c r="E41" s="417">
        <v>9.6999999999999993</v>
      </c>
      <c r="F41" s="408"/>
      <c r="G41" s="408"/>
      <c r="H41" s="408"/>
      <c r="I41" s="408"/>
      <c r="J41" s="409"/>
      <c r="K41" s="410"/>
      <c r="L41" s="411"/>
      <c r="M41" s="398"/>
      <c r="N41" s="398"/>
      <c r="O41" s="398"/>
      <c r="P41" s="398"/>
      <c r="Q41" s="398"/>
      <c r="R41" s="398"/>
      <c r="S41" s="398"/>
      <c r="T41" s="398"/>
      <c r="U41" s="398"/>
      <c r="V41" s="398"/>
    </row>
    <row r="42" spans="1:22" s="419" customFormat="1">
      <c r="A42" s="414" t="s">
        <v>557</v>
      </c>
      <c r="B42" s="86" t="s">
        <v>904</v>
      </c>
      <c r="C42" s="333" t="s">
        <v>882</v>
      </c>
      <c r="D42" s="334" t="s">
        <v>47</v>
      </c>
      <c r="E42" s="417">
        <v>3.5</v>
      </c>
      <c r="F42" s="408"/>
      <c r="G42" s="408"/>
      <c r="H42" s="408"/>
      <c r="I42" s="408"/>
      <c r="J42" s="409"/>
      <c r="K42" s="410"/>
      <c r="L42" s="411"/>
      <c r="M42" s="398"/>
      <c r="N42" s="398"/>
      <c r="O42" s="398"/>
      <c r="P42" s="398"/>
      <c r="Q42" s="398"/>
      <c r="R42" s="398"/>
      <c r="S42" s="398"/>
      <c r="T42" s="398"/>
      <c r="U42" s="398"/>
      <c r="V42" s="398"/>
    </row>
    <row r="43" spans="1:22" s="419" customFormat="1">
      <c r="A43" s="414" t="s">
        <v>558</v>
      </c>
      <c r="B43" s="414" t="s">
        <v>906</v>
      </c>
      <c r="C43" s="333" t="s">
        <v>883</v>
      </c>
      <c r="D43" s="334" t="s">
        <v>47</v>
      </c>
      <c r="E43" s="417">
        <v>3.5</v>
      </c>
      <c r="F43" s="408"/>
      <c r="G43" s="408"/>
      <c r="H43" s="408"/>
      <c r="I43" s="408"/>
      <c r="J43" s="409"/>
      <c r="K43" s="410"/>
      <c r="L43" s="411"/>
      <c r="M43" s="398"/>
      <c r="N43" s="398"/>
      <c r="O43" s="398"/>
      <c r="P43" s="398"/>
      <c r="Q43" s="398"/>
      <c r="R43" s="398"/>
      <c r="S43" s="398"/>
      <c r="T43" s="398"/>
      <c r="U43" s="398"/>
      <c r="V43" s="398"/>
    </row>
    <row r="44" spans="1:22" s="419" customFormat="1" ht="24">
      <c r="A44" s="414" t="s">
        <v>893</v>
      </c>
      <c r="B44" s="423" t="s">
        <v>907</v>
      </c>
      <c r="C44" s="333" t="s">
        <v>884</v>
      </c>
      <c r="D44" s="334" t="s">
        <v>890</v>
      </c>
      <c r="E44" s="417">
        <v>318.89999999999998</v>
      </c>
      <c r="F44" s="408"/>
      <c r="G44" s="408"/>
      <c r="H44" s="408"/>
      <c r="I44" s="408"/>
      <c r="J44" s="409"/>
      <c r="K44" s="410"/>
      <c r="L44" s="411"/>
      <c r="M44" s="398"/>
      <c r="N44" s="398"/>
      <c r="O44" s="398"/>
      <c r="P44" s="398"/>
      <c r="Q44" s="398"/>
      <c r="R44" s="398"/>
      <c r="S44" s="398"/>
      <c r="T44" s="398"/>
      <c r="U44" s="398"/>
      <c r="V44" s="398"/>
    </row>
    <row r="45" spans="1:22" s="419" customFormat="1">
      <c r="A45" s="414" t="s">
        <v>894</v>
      </c>
      <c r="B45" s="86" t="s">
        <v>832</v>
      </c>
      <c r="C45" s="333" t="s">
        <v>885</v>
      </c>
      <c r="D45" s="334" t="s">
        <v>890</v>
      </c>
      <c r="E45" s="417">
        <v>93.3</v>
      </c>
      <c r="F45" s="408"/>
      <c r="G45" s="408"/>
      <c r="H45" s="408"/>
      <c r="I45" s="408"/>
      <c r="J45" s="409"/>
      <c r="K45" s="410"/>
      <c r="L45" s="411"/>
      <c r="M45" s="398"/>
      <c r="N45" s="398"/>
      <c r="O45" s="398"/>
      <c r="P45" s="398"/>
      <c r="Q45" s="398"/>
      <c r="R45" s="398"/>
      <c r="S45" s="398"/>
      <c r="T45" s="398"/>
      <c r="U45" s="398"/>
      <c r="V45" s="398"/>
    </row>
    <row r="46" spans="1:22" s="419" customFormat="1" ht="24">
      <c r="A46" s="414" t="s">
        <v>895</v>
      </c>
      <c r="B46" s="423" t="s">
        <v>907</v>
      </c>
      <c r="C46" s="333" t="s">
        <v>886</v>
      </c>
      <c r="D46" s="334" t="s">
        <v>890</v>
      </c>
      <c r="E46" s="417">
        <v>407.8</v>
      </c>
      <c r="F46" s="408"/>
      <c r="G46" s="408"/>
      <c r="H46" s="408"/>
      <c r="I46" s="408"/>
      <c r="J46" s="409"/>
      <c r="K46" s="410"/>
      <c r="L46" s="411"/>
      <c r="M46" s="398"/>
      <c r="N46" s="398"/>
      <c r="O46" s="398"/>
      <c r="P46" s="398"/>
      <c r="Q46" s="398"/>
      <c r="R46" s="398"/>
      <c r="S46" s="398"/>
      <c r="T46" s="398"/>
      <c r="U46" s="398"/>
      <c r="V46" s="398"/>
    </row>
    <row r="47" spans="1:22" s="419" customFormat="1">
      <c r="A47" s="414" t="s">
        <v>896</v>
      </c>
      <c r="B47" s="86" t="s">
        <v>832</v>
      </c>
      <c r="C47" s="333" t="s">
        <v>887</v>
      </c>
      <c r="D47" s="334" t="s">
        <v>890</v>
      </c>
      <c r="E47" s="417">
        <v>164.6</v>
      </c>
      <c r="F47" s="408"/>
      <c r="G47" s="408"/>
      <c r="H47" s="408"/>
      <c r="I47" s="408"/>
      <c r="J47" s="409"/>
      <c r="K47" s="410"/>
      <c r="L47" s="411"/>
      <c r="M47" s="398"/>
      <c r="N47" s="398"/>
      <c r="O47" s="398"/>
      <c r="P47" s="398"/>
      <c r="Q47" s="398"/>
      <c r="R47" s="398"/>
      <c r="S47" s="398"/>
      <c r="T47" s="398"/>
      <c r="U47" s="398"/>
      <c r="V47" s="398"/>
    </row>
    <row r="48" spans="1:22" s="419" customFormat="1" ht="36.75">
      <c r="A48" s="414" t="s">
        <v>897</v>
      </c>
      <c r="B48" s="414"/>
      <c r="C48" s="418" t="s">
        <v>915</v>
      </c>
      <c r="D48" s="334" t="s">
        <v>29</v>
      </c>
      <c r="E48" s="417">
        <v>174.67</v>
      </c>
      <c r="F48" s="408"/>
      <c r="G48" s="408"/>
      <c r="H48" s="408"/>
      <c r="I48" s="408"/>
      <c r="J48" s="409"/>
      <c r="K48" s="410"/>
      <c r="L48" s="411"/>
      <c r="M48" s="398"/>
      <c r="N48" s="398"/>
      <c r="O48" s="398"/>
      <c r="P48" s="398"/>
      <c r="Q48" s="398"/>
      <c r="R48" s="398"/>
      <c r="S48" s="398"/>
      <c r="T48" s="398"/>
      <c r="U48" s="398"/>
      <c r="V48" s="398"/>
    </row>
    <row r="49" spans="1:22" s="419" customFormat="1">
      <c r="A49" s="414" t="s">
        <v>898</v>
      </c>
      <c r="B49" s="414"/>
      <c r="C49" s="333" t="s">
        <v>908</v>
      </c>
      <c r="D49" s="334" t="s">
        <v>27</v>
      </c>
      <c r="E49" s="417">
        <v>749</v>
      </c>
      <c r="F49" s="408"/>
      <c r="G49" s="408"/>
      <c r="H49" s="408"/>
      <c r="I49" s="408"/>
      <c r="J49" s="409"/>
      <c r="K49" s="410"/>
      <c r="L49" s="411"/>
      <c r="M49" s="398"/>
      <c r="N49" s="398"/>
      <c r="O49" s="398"/>
      <c r="P49" s="398"/>
      <c r="Q49" s="398"/>
      <c r="R49" s="398"/>
      <c r="S49" s="398"/>
      <c r="T49" s="398"/>
      <c r="U49" s="398"/>
      <c r="V49" s="398"/>
    </row>
    <row r="50" spans="1:22" s="419" customFormat="1">
      <c r="A50" s="414" t="s">
        <v>899</v>
      </c>
      <c r="B50" s="414"/>
      <c r="C50" s="418"/>
      <c r="D50" s="334"/>
      <c r="E50" s="417"/>
      <c r="F50" s="408"/>
      <c r="G50" s="408"/>
      <c r="H50" s="408"/>
      <c r="I50" s="408"/>
      <c r="J50" s="409"/>
      <c r="K50" s="410"/>
      <c r="L50" s="411"/>
      <c r="M50" s="398"/>
      <c r="N50" s="398"/>
      <c r="O50" s="398"/>
      <c r="P50" s="398"/>
      <c r="Q50" s="398"/>
      <c r="R50" s="398"/>
      <c r="S50" s="398"/>
      <c r="T50" s="398"/>
      <c r="U50" s="398"/>
      <c r="V50" s="398"/>
    </row>
    <row r="51" spans="1:22" s="419" customFormat="1">
      <c r="A51" s="414" t="s">
        <v>900</v>
      </c>
      <c r="B51" s="86" t="s">
        <v>904</v>
      </c>
      <c r="C51" s="333" t="s">
        <v>911</v>
      </c>
      <c r="D51" s="334" t="s">
        <v>47</v>
      </c>
      <c r="E51" s="417">
        <v>3.4</v>
      </c>
      <c r="F51" s="408"/>
      <c r="G51" s="408"/>
      <c r="H51" s="408"/>
      <c r="I51" s="408"/>
      <c r="J51" s="409"/>
      <c r="K51" s="410"/>
      <c r="L51" s="411"/>
      <c r="M51" s="398"/>
      <c r="N51" s="398"/>
      <c r="O51" s="398"/>
      <c r="P51" s="398"/>
      <c r="Q51" s="398"/>
      <c r="R51" s="398"/>
      <c r="S51" s="398"/>
      <c r="T51" s="398"/>
      <c r="U51" s="398"/>
      <c r="V51" s="398"/>
    </row>
    <row r="52" spans="1:22" s="419" customFormat="1">
      <c r="A52" s="414" t="s">
        <v>901</v>
      </c>
      <c r="B52" s="414" t="s">
        <v>906</v>
      </c>
      <c r="C52" s="333" t="s">
        <v>888</v>
      </c>
      <c r="D52" s="334" t="s">
        <v>47</v>
      </c>
      <c r="E52" s="417">
        <v>3.4</v>
      </c>
      <c r="F52" s="408"/>
      <c r="G52" s="408"/>
      <c r="H52" s="408"/>
      <c r="I52" s="408"/>
      <c r="J52" s="409"/>
      <c r="K52" s="410"/>
      <c r="L52" s="411"/>
      <c r="M52" s="398"/>
      <c r="N52" s="398"/>
      <c r="O52" s="398"/>
      <c r="P52" s="398"/>
      <c r="Q52" s="398"/>
      <c r="R52" s="398"/>
      <c r="S52" s="398"/>
      <c r="T52" s="398"/>
      <c r="U52" s="398"/>
      <c r="V52" s="398"/>
    </row>
    <row r="53" spans="1:22" s="419" customFormat="1" ht="24.75">
      <c r="A53" s="414" t="s">
        <v>902</v>
      </c>
      <c r="B53" s="414"/>
      <c r="C53" s="418" t="s">
        <v>889</v>
      </c>
      <c r="D53" s="334" t="s">
        <v>29</v>
      </c>
      <c r="E53" s="417">
        <v>6</v>
      </c>
      <c r="F53" s="408"/>
      <c r="G53" s="408"/>
      <c r="H53" s="408"/>
      <c r="I53" s="408"/>
      <c r="J53" s="409"/>
      <c r="K53" s="410"/>
      <c r="L53" s="411"/>
      <c r="M53" s="398"/>
      <c r="N53" s="398"/>
      <c r="O53" s="398"/>
      <c r="P53" s="398"/>
      <c r="Q53" s="398"/>
      <c r="R53" s="398"/>
      <c r="S53" s="398"/>
      <c r="T53" s="398"/>
      <c r="U53" s="398"/>
      <c r="V53" s="398"/>
    </row>
    <row r="54" spans="1:22" s="419" customFormat="1">
      <c r="A54" s="414" t="s">
        <v>903</v>
      </c>
      <c r="B54" s="86" t="s">
        <v>832</v>
      </c>
      <c r="C54" s="333" t="s">
        <v>923</v>
      </c>
      <c r="D54" s="334" t="s">
        <v>890</v>
      </c>
      <c r="E54" s="417">
        <v>14.8</v>
      </c>
      <c r="F54" s="408"/>
      <c r="G54" s="408"/>
      <c r="H54" s="408"/>
      <c r="I54" s="408"/>
      <c r="J54" s="409"/>
      <c r="K54" s="410"/>
      <c r="L54" s="411"/>
      <c r="M54" s="398"/>
      <c r="N54" s="398"/>
      <c r="O54" s="398"/>
      <c r="P54" s="398"/>
      <c r="Q54" s="398"/>
      <c r="R54" s="398"/>
      <c r="S54" s="398"/>
      <c r="T54" s="398"/>
      <c r="U54" s="398"/>
      <c r="V54" s="398"/>
    </row>
    <row r="55" spans="1:22" s="74" customFormat="1">
      <c r="A55" s="496" t="s">
        <v>18</v>
      </c>
      <c r="B55" s="496"/>
      <c r="C55" s="497"/>
      <c r="D55" s="497"/>
      <c r="E55" s="497"/>
      <c r="F55" s="497"/>
      <c r="G55" s="497"/>
      <c r="H55" s="497"/>
      <c r="I55" s="497"/>
      <c r="J55" s="22"/>
      <c r="K55" s="22"/>
      <c r="L55" s="79"/>
      <c r="M55" s="73"/>
      <c r="N55" s="73"/>
      <c r="O55" s="73"/>
      <c r="P55" s="73"/>
      <c r="Q55" s="73"/>
      <c r="R55" s="73"/>
      <c r="S55" s="73"/>
      <c r="T55" s="73"/>
      <c r="U55" s="73"/>
      <c r="V55" s="73"/>
    </row>
    <row r="56" spans="1:22" s="81" customFormat="1">
      <c r="A56" s="80" t="s">
        <v>38</v>
      </c>
      <c r="B56" s="456" t="s">
        <v>180</v>
      </c>
      <c r="C56" s="457"/>
      <c r="D56" s="457"/>
      <c r="E56" s="457"/>
      <c r="F56" s="457"/>
      <c r="G56" s="457"/>
      <c r="H56" s="457"/>
      <c r="I56" s="457"/>
      <c r="J56" s="457"/>
      <c r="K56" s="485"/>
      <c r="L56" s="78"/>
      <c r="M56" s="73"/>
      <c r="N56" s="73"/>
      <c r="O56" s="73"/>
      <c r="P56" s="73"/>
      <c r="Q56" s="73"/>
      <c r="R56" s="73"/>
      <c r="S56" s="73"/>
      <c r="T56" s="73"/>
      <c r="U56" s="73"/>
      <c r="V56" s="73"/>
    </row>
    <row r="57" spans="1:22" s="53" customFormat="1" ht="24.75">
      <c r="A57" s="48" t="s">
        <v>39</v>
      </c>
      <c r="B57" s="195" t="s">
        <v>181</v>
      </c>
      <c r="C57" s="58" t="s">
        <v>182</v>
      </c>
      <c r="D57" s="50" t="s">
        <v>29</v>
      </c>
      <c r="E57" s="47">
        <f>(1.4*15.2*2)+(1.4*6.3*2)+(1.4*3.15*4)+(1.28*15.6)+(3.15*0.2*4)</f>
        <v>100.32799999999999</v>
      </c>
      <c r="F57" s="47"/>
      <c r="G57" s="47"/>
      <c r="H57" s="47"/>
      <c r="I57" s="47"/>
      <c r="J57" s="47"/>
      <c r="K57" s="47"/>
      <c r="L57" s="11"/>
      <c r="M57" s="11"/>
      <c r="N57" s="11"/>
      <c r="O57" s="11"/>
      <c r="P57" s="11"/>
      <c r="Q57" s="11"/>
      <c r="R57" s="11"/>
      <c r="S57" s="11"/>
      <c r="T57" s="11"/>
    </row>
    <row r="58" spans="1:22" s="53" customFormat="1" ht="24.75">
      <c r="A58" s="48" t="s">
        <v>40</v>
      </c>
      <c r="B58" s="195" t="s">
        <v>183</v>
      </c>
      <c r="C58" s="58" t="s">
        <v>184</v>
      </c>
      <c r="D58" s="50" t="s">
        <v>29</v>
      </c>
      <c r="E58" s="47">
        <f>(2.85*31.2)+(3.15*0.2*4)</f>
        <v>91.44</v>
      </c>
      <c r="F58" s="47"/>
      <c r="G58" s="47"/>
      <c r="H58" s="47"/>
      <c r="I58" s="47"/>
      <c r="J58" s="47"/>
      <c r="K58" s="47"/>
      <c r="L58" s="11"/>
      <c r="M58" s="11"/>
      <c r="N58" s="11"/>
      <c r="O58" s="11"/>
      <c r="P58" s="11"/>
      <c r="Q58" s="11"/>
      <c r="R58" s="11"/>
      <c r="S58" s="11"/>
      <c r="T58" s="11"/>
    </row>
    <row r="59" spans="1:22" s="53" customFormat="1">
      <c r="A59" s="48" t="s">
        <v>41</v>
      </c>
      <c r="B59" s="195" t="s">
        <v>263</v>
      </c>
      <c r="C59" s="58" t="s">
        <v>738</v>
      </c>
      <c r="D59" s="50" t="s">
        <v>28</v>
      </c>
      <c r="E59" s="47">
        <f>2*6</f>
        <v>12</v>
      </c>
      <c r="F59" s="47"/>
      <c r="G59" s="47"/>
      <c r="H59" s="47"/>
      <c r="I59" s="47"/>
      <c r="J59" s="47"/>
      <c r="K59" s="47"/>
      <c r="L59" s="11"/>
      <c r="M59" s="11"/>
      <c r="N59" s="11"/>
      <c r="O59" s="11"/>
      <c r="P59" s="11"/>
      <c r="Q59" s="11"/>
      <c r="R59" s="11"/>
      <c r="S59" s="11"/>
      <c r="T59" s="11"/>
    </row>
    <row r="60" spans="1:22" s="53" customFormat="1" ht="24.95" customHeight="1">
      <c r="A60" s="48" t="s">
        <v>42</v>
      </c>
      <c r="B60" s="195" t="s">
        <v>185</v>
      </c>
      <c r="C60" s="58" t="s">
        <v>186</v>
      </c>
      <c r="D60" s="50" t="s">
        <v>47</v>
      </c>
      <c r="E60" s="47">
        <f>(0.2*0.1)*((2.4*1)+(1.4*6)+(2.1*1))</f>
        <v>0.25800000000000001</v>
      </c>
      <c r="F60" s="47"/>
      <c r="G60" s="47"/>
      <c r="H60" s="47"/>
      <c r="I60" s="47"/>
      <c r="J60" s="47"/>
      <c r="K60" s="47"/>
      <c r="L60" s="11"/>
      <c r="M60" s="11"/>
      <c r="N60" s="11"/>
      <c r="O60" s="11"/>
      <c r="P60" s="11"/>
      <c r="Q60" s="11"/>
      <c r="R60" s="11"/>
      <c r="S60" s="11"/>
      <c r="T60" s="11"/>
    </row>
    <row r="61" spans="1:22" s="74" customFormat="1">
      <c r="A61" s="496" t="s">
        <v>73</v>
      </c>
      <c r="B61" s="496"/>
      <c r="C61" s="497"/>
      <c r="D61" s="497"/>
      <c r="E61" s="497"/>
      <c r="F61" s="497"/>
      <c r="G61" s="497"/>
      <c r="H61" s="497"/>
      <c r="I61" s="497"/>
      <c r="J61" s="22"/>
      <c r="K61" s="22"/>
      <c r="L61" s="79"/>
      <c r="M61" s="73"/>
      <c r="N61" s="73"/>
      <c r="O61" s="73"/>
      <c r="P61" s="73"/>
      <c r="Q61" s="73"/>
      <c r="R61" s="73"/>
      <c r="S61" s="73"/>
      <c r="T61" s="73"/>
      <c r="U61" s="73"/>
      <c r="V61" s="73"/>
    </row>
    <row r="62" spans="1:22" s="53" customFormat="1" ht="15.75" customHeight="1">
      <c r="A62" s="60" t="s">
        <v>68</v>
      </c>
      <c r="B62" s="458" t="s">
        <v>104</v>
      </c>
      <c r="C62" s="459"/>
      <c r="D62" s="459"/>
      <c r="E62" s="459"/>
      <c r="F62" s="459"/>
      <c r="G62" s="459"/>
      <c r="H62" s="459"/>
      <c r="I62" s="459"/>
      <c r="J62" s="459"/>
      <c r="K62" s="473"/>
      <c r="L62" s="77"/>
      <c r="M62" s="11"/>
      <c r="N62" s="11"/>
      <c r="O62" s="11"/>
      <c r="P62" s="11"/>
      <c r="Q62" s="11"/>
      <c r="R62" s="11"/>
      <c r="S62" s="11"/>
      <c r="T62" s="11"/>
    </row>
    <row r="63" spans="1:22" s="53" customFormat="1" ht="24.75">
      <c r="A63" s="198" t="s">
        <v>69</v>
      </c>
      <c r="B63" s="195" t="s">
        <v>264</v>
      </c>
      <c r="C63" s="58" t="s">
        <v>532</v>
      </c>
      <c r="D63" s="50" t="s">
        <v>27</v>
      </c>
      <c r="E63" s="289">
        <v>1</v>
      </c>
      <c r="F63" s="54"/>
      <c r="G63" s="54"/>
      <c r="H63" s="54"/>
      <c r="I63" s="54"/>
      <c r="J63" s="54"/>
      <c r="K63" s="47"/>
      <c r="L63" s="11"/>
      <c r="M63" s="11"/>
      <c r="N63" s="11"/>
      <c r="O63" s="11"/>
      <c r="P63" s="11"/>
      <c r="Q63" s="11"/>
      <c r="R63" s="11"/>
      <c r="S63" s="11"/>
      <c r="T63" s="11"/>
    </row>
    <row r="64" spans="1:22" s="53" customFormat="1">
      <c r="A64" s="198" t="s">
        <v>70</v>
      </c>
      <c r="B64" s="182" t="s">
        <v>535</v>
      </c>
      <c r="C64" s="164" t="s">
        <v>536</v>
      </c>
      <c r="D64" s="165" t="s">
        <v>27</v>
      </c>
      <c r="E64" s="54">
        <v>1</v>
      </c>
      <c r="F64" s="54"/>
      <c r="G64" s="54"/>
      <c r="H64" s="54"/>
      <c r="I64" s="54"/>
      <c r="J64" s="54"/>
      <c r="K64" s="47"/>
      <c r="L64" s="11"/>
      <c r="M64" s="11"/>
      <c r="N64" s="11"/>
      <c r="O64" s="11"/>
      <c r="P64" s="11"/>
      <c r="Q64" s="11"/>
      <c r="R64" s="11"/>
      <c r="S64" s="11"/>
      <c r="T64" s="11"/>
    </row>
    <row r="65" spans="1:22" s="53" customFormat="1" ht="24.75">
      <c r="A65" s="198" t="s">
        <v>71</v>
      </c>
      <c r="B65" s="195" t="s">
        <v>195</v>
      </c>
      <c r="C65" s="58" t="s">
        <v>196</v>
      </c>
      <c r="D65" s="50" t="s">
        <v>27</v>
      </c>
      <c r="E65" s="54">
        <v>1</v>
      </c>
      <c r="F65" s="54"/>
      <c r="G65" s="54"/>
      <c r="H65" s="54"/>
      <c r="I65" s="54"/>
      <c r="J65" s="54"/>
      <c r="K65" s="47"/>
      <c r="L65" s="11"/>
      <c r="M65" s="11"/>
      <c r="N65" s="11"/>
      <c r="O65" s="11"/>
      <c r="P65" s="11"/>
      <c r="Q65" s="11"/>
      <c r="R65" s="11"/>
      <c r="S65" s="11"/>
      <c r="T65" s="11"/>
    </row>
    <row r="66" spans="1:22" s="53" customFormat="1" ht="24.75">
      <c r="A66" s="198" t="s">
        <v>72</v>
      </c>
      <c r="B66" s="195" t="s">
        <v>264</v>
      </c>
      <c r="C66" s="58" t="s">
        <v>265</v>
      </c>
      <c r="D66" s="50" t="s">
        <v>27</v>
      </c>
      <c r="E66" s="54">
        <v>7</v>
      </c>
      <c r="F66" s="54"/>
      <c r="G66" s="54"/>
      <c r="H66" s="54"/>
      <c r="I66" s="54"/>
      <c r="J66" s="54"/>
      <c r="K66" s="47"/>
      <c r="L66" s="11"/>
      <c r="M66" s="11"/>
      <c r="N66" s="11"/>
      <c r="O66" s="11"/>
      <c r="P66" s="11"/>
      <c r="Q66" s="11"/>
      <c r="R66" s="11"/>
      <c r="S66" s="11"/>
      <c r="T66" s="11"/>
    </row>
    <row r="67" spans="1:22" s="53" customFormat="1" ht="24.75">
      <c r="A67" s="198" t="s">
        <v>74</v>
      </c>
      <c r="B67" s="195" t="s">
        <v>266</v>
      </c>
      <c r="C67" s="58" t="s">
        <v>267</v>
      </c>
      <c r="D67" s="50" t="s">
        <v>27</v>
      </c>
      <c r="E67" s="54">
        <v>6</v>
      </c>
      <c r="F67" s="54"/>
      <c r="G67" s="54"/>
      <c r="H67" s="54"/>
      <c r="I67" s="54"/>
      <c r="J67" s="54"/>
      <c r="K67" s="47"/>
      <c r="L67" s="11"/>
      <c r="M67" s="11"/>
      <c r="N67" s="11"/>
      <c r="O67" s="11"/>
      <c r="P67" s="11"/>
      <c r="Q67" s="11"/>
      <c r="R67" s="11"/>
      <c r="S67" s="11"/>
      <c r="T67" s="11"/>
    </row>
    <row r="68" spans="1:22" s="53" customFormat="1" ht="24.75">
      <c r="A68" s="198" t="s">
        <v>75</v>
      </c>
      <c r="B68" s="195" t="s">
        <v>199</v>
      </c>
      <c r="C68" s="58" t="s">
        <v>268</v>
      </c>
      <c r="D68" s="50" t="s">
        <v>27</v>
      </c>
      <c r="E68" s="47">
        <v>1</v>
      </c>
      <c r="F68" s="54"/>
      <c r="G68" s="54"/>
      <c r="H68" s="54"/>
      <c r="I68" s="54"/>
      <c r="J68" s="54"/>
      <c r="K68" s="47"/>
      <c r="L68" s="11"/>
      <c r="M68" s="11"/>
      <c r="N68" s="11"/>
      <c r="O68" s="11"/>
      <c r="P68" s="11"/>
      <c r="Q68" s="11"/>
      <c r="R68" s="11"/>
      <c r="S68" s="11"/>
      <c r="T68" s="11"/>
    </row>
    <row r="69" spans="1:22" s="53" customFormat="1" ht="15.75" customHeight="1">
      <c r="A69" s="479" t="s">
        <v>43</v>
      </c>
      <c r="B69" s="480"/>
      <c r="C69" s="480"/>
      <c r="D69" s="480"/>
      <c r="E69" s="480"/>
      <c r="F69" s="480"/>
      <c r="G69" s="480"/>
      <c r="H69" s="480"/>
      <c r="I69" s="481"/>
      <c r="J69" s="23"/>
      <c r="K69" s="23"/>
      <c r="L69" s="77"/>
      <c r="M69" s="11"/>
      <c r="N69" s="11"/>
      <c r="O69" s="11"/>
      <c r="P69" s="11"/>
      <c r="Q69" s="11"/>
      <c r="R69" s="11"/>
      <c r="S69" s="11"/>
      <c r="T69" s="11"/>
    </row>
    <row r="70" spans="1:22" s="74" customFormat="1">
      <c r="A70" s="70" t="s">
        <v>44</v>
      </c>
      <c r="B70" s="448" t="s">
        <v>109</v>
      </c>
      <c r="C70" s="449"/>
      <c r="D70" s="449"/>
      <c r="E70" s="449"/>
      <c r="F70" s="449"/>
      <c r="G70" s="449"/>
      <c r="H70" s="449"/>
      <c r="I70" s="449"/>
      <c r="J70" s="449"/>
      <c r="K70" s="449"/>
      <c r="L70" s="78"/>
      <c r="M70" s="73"/>
      <c r="N70" s="73"/>
      <c r="O70" s="73"/>
      <c r="P70" s="73"/>
      <c r="Q70" s="73"/>
      <c r="R70" s="73"/>
      <c r="S70" s="73"/>
      <c r="T70" s="73"/>
      <c r="U70" s="73"/>
      <c r="V70" s="73"/>
    </row>
    <row r="71" spans="1:22" s="81" customFormat="1" ht="24.75">
      <c r="A71" s="80" t="s">
        <v>82</v>
      </c>
      <c r="B71" s="197" t="s">
        <v>203</v>
      </c>
      <c r="C71" s="181" t="s">
        <v>204</v>
      </c>
      <c r="D71" s="92" t="s">
        <v>29</v>
      </c>
      <c r="E71" s="47">
        <v>67.2</v>
      </c>
      <c r="F71" s="47"/>
      <c r="G71" s="47"/>
      <c r="H71" s="47"/>
      <c r="I71" s="47"/>
      <c r="J71" s="82"/>
      <c r="K71" s="47"/>
      <c r="L71" s="78"/>
      <c r="M71" s="73"/>
      <c r="N71" s="73"/>
      <c r="O71" s="73"/>
      <c r="P71" s="73"/>
      <c r="Q71" s="73"/>
      <c r="R71" s="73"/>
      <c r="S71" s="73"/>
      <c r="T71" s="73"/>
      <c r="U71" s="73"/>
      <c r="V71" s="73"/>
    </row>
    <row r="72" spans="1:22" s="81" customFormat="1" ht="24.75">
      <c r="A72" s="80" t="s">
        <v>86</v>
      </c>
      <c r="B72" s="197" t="s">
        <v>205</v>
      </c>
      <c r="C72" s="181" t="s">
        <v>206</v>
      </c>
      <c r="D72" s="92" t="s">
        <v>29</v>
      </c>
      <c r="E72" s="47">
        <f>E71*1.005</f>
        <v>67.536000000000001</v>
      </c>
      <c r="F72" s="47"/>
      <c r="G72" s="47"/>
      <c r="H72" s="47"/>
      <c r="I72" s="47"/>
      <c r="J72" s="82"/>
      <c r="K72" s="47"/>
      <c r="L72" s="78"/>
      <c r="M72" s="73"/>
      <c r="N72" s="73"/>
      <c r="O72" s="73"/>
      <c r="P72" s="73"/>
      <c r="Q72" s="73"/>
      <c r="R72" s="73"/>
      <c r="S72" s="73"/>
      <c r="T72" s="73"/>
      <c r="U72" s="73"/>
      <c r="V72" s="73"/>
    </row>
    <row r="73" spans="1:22" s="81" customFormat="1">
      <c r="A73" s="80" t="s">
        <v>110</v>
      </c>
      <c r="B73" s="180">
        <v>72104</v>
      </c>
      <c r="C73" s="181" t="s">
        <v>520</v>
      </c>
      <c r="D73" s="182" t="s">
        <v>28</v>
      </c>
      <c r="E73" s="49">
        <f>(2*8.9)*1.005</f>
        <v>17.888999999999999</v>
      </c>
      <c r="F73" s="117"/>
      <c r="G73" s="117"/>
      <c r="H73" s="117"/>
      <c r="I73" s="117"/>
      <c r="J73" s="177"/>
      <c r="K73" s="47"/>
      <c r="L73" s="78"/>
      <c r="M73" s="73"/>
      <c r="N73" s="73"/>
      <c r="O73" s="73"/>
      <c r="P73" s="73"/>
      <c r="Q73" s="73"/>
      <c r="R73" s="73"/>
      <c r="S73" s="73"/>
      <c r="T73" s="73"/>
      <c r="U73" s="73"/>
      <c r="V73" s="73"/>
    </row>
    <row r="74" spans="1:22" s="81" customFormat="1">
      <c r="A74" s="80" t="s">
        <v>111</v>
      </c>
      <c r="B74" s="197">
        <v>72104</v>
      </c>
      <c r="C74" s="76" t="s">
        <v>208</v>
      </c>
      <c r="D74" s="92" t="s">
        <v>28</v>
      </c>
      <c r="E74" s="289">
        <v>6.4</v>
      </c>
      <c r="F74" s="47"/>
      <c r="G74" s="47"/>
      <c r="H74" s="47"/>
      <c r="I74" s="47"/>
      <c r="J74" s="82"/>
      <c r="K74" s="47"/>
      <c r="L74" s="78"/>
      <c r="M74" s="73"/>
      <c r="N74" s="73"/>
      <c r="O74" s="73"/>
      <c r="P74" s="73"/>
      <c r="Q74" s="73"/>
      <c r="R74" s="73"/>
      <c r="S74" s="73"/>
      <c r="T74" s="73"/>
      <c r="U74" s="73"/>
      <c r="V74" s="73"/>
    </row>
    <row r="75" spans="1:22" s="81" customFormat="1">
      <c r="A75" s="80" t="s">
        <v>463</v>
      </c>
      <c r="B75" s="197">
        <v>72106</v>
      </c>
      <c r="C75" s="76" t="s">
        <v>207</v>
      </c>
      <c r="D75" s="92" t="s">
        <v>28</v>
      </c>
      <c r="E75" s="47">
        <f>(2*8.9)*1.005</f>
        <v>17.888999999999999</v>
      </c>
      <c r="F75" s="47"/>
      <c r="G75" s="47"/>
      <c r="H75" s="47"/>
      <c r="I75" s="47"/>
      <c r="J75" s="82"/>
      <c r="K75" s="47"/>
      <c r="L75" s="78"/>
      <c r="M75" s="73"/>
      <c r="N75" s="73"/>
      <c r="O75" s="73"/>
      <c r="P75" s="73"/>
      <c r="Q75" s="73"/>
      <c r="R75" s="73"/>
      <c r="S75" s="73"/>
      <c r="T75" s="73"/>
      <c r="U75" s="73"/>
      <c r="V75" s="73"/>
    </row>
    <row r="76" spans="1:22" s="74" customFormat="1">
      <c r="A76" s="462" t="s">
        <v>45</v>
      </c>
      <c r="B76" s="463"/>
      <c r="C76" s="463"/>
      <c r="D76" s="463"/>
      <c r="E76" s="463"/>
      <c r="F76" s="463"/>
      <c r="G76" s="463"/>
      <c r="H76" s="463"/>
      <c r="I76" s="464"/>
      <c r="J76" s="23"/>
      <c r="K76" s="23"/>
      <c r="L76" s="79"/>
      <c r="M76" s="73"/>
      <c r="N76" s="73"/>
      <c r="O76" s="73"/>
      <c r="P76" s="73"/>
      <c r="Q76" s="73"/>
      <c r="R76" s="73"/>
      <c r="S76" s="73"/>
      <c r="T76" s="73"/>
      <c r="U76" s="73"/>
      <c r="V76" s="73"/>
    </row>
    <row r="77" spans="1:22" s="53" customFormat="1">
      <c r="A77" s="48" t="s">
        <v>83</v>
      </c>
      <c r="B77" s="474" t="s">
        <v>6</v>
      </c>
      <c r="C77" s="475"/>
      <c r="D77" s="475"/>
      <c r="E77" s="475"/>
      <c r="F77" s="475"/>
      <c r="G77" s="475"/>
      <c r="H77" s="475"/>
      <c r="I77" s="475"/>
      <c r="J77" s="475"/>
      <c r="K77" s="476"/>
      <c r="L77" s="77"/>
      <c r="M77" s="11"/>
      <c r="N77" s="11"/>
      <c r="O77" s="11"/>
      <c r="P77" s="11"/>
      <c r="Q77" s="11"/>
      <c r="R77" s="11"/>
      <c r="S77" s="11"/>
      <c r="T77" s="11"/>
    </row>
    <row r="78" spans="1:22" s="91" customFormat="1">
      <c r="A78" s="86" t="s">
        <v>343</v>
      </c>
      <c r="B78" s="358" t="s">
        <v>850</v>
      </c>
      <c r="C78" s="202" t="s">
        <v>31</v>
      </c>
      <c r="D78" s="201" t="s">
        <v>28</v>
      </c>
      <c r="E78" s="88">
        <v>176.86</v>
      </c>
      <c r="F78" s="202"/>
      <c r="G78" s="54"/>
      <c r="H78" s="202"/>
      <c r="I78" s="54"/>
      <c r="J78" s="54"/>
      <c r="K78" s="54"/>
      <c r="L78" s="90"/>
      <c r="M78" s="90"/>
      <c r="N78" s="90"/>
      <c r="O78" s="90"/>
      <c r="P78" s="90"/>
      <c r="Q78" s="90"/>
      <c r="R78" s="90"/>
      <c r="S78" s="90"/>
      <c r="T78" s="90"/>
    </row>
    <row r="79" spans="1:22" s="91" customFormat="1">
      <c r="A79" s="86" t="s">
        <v>344</v>
      </c>
      <c r="B79" s="137"/>
      <c r="C79" s="191" t="s">
        <v>48</v>
      </c>
      <c r="D79" s="173" t="s">
        <v>27</v>
      </c>
      <c r="E79" s="47">
        <v>10</v>
      </c>
      <c r="F79" s="47"/>
      <c r="G79" s="47"/>
      <c r="H79" s="47"/>
      <c r="I79" s="47"/>
      <c r="J79" s="47"/>
      <c r="K79" s="54"/>
      <c r="L79" s="90"/>
      <c r="M79" s="90"/>
      <c r="N79" s="90"/>
      <c r="O79" s="90"/>
      <c r="P79" s="90"/>
      <c r="Q79" s="90"/>
      <c r="R79" s="90"/>
      <c r="S79" s="90"/>
      <c r="T79" s="90"/>
    </row>
    <row r="80" spans="1:22" s="91" customFormat="1">
      <c r="A80" s="86" t="s">
        <v>345</v>
      </c>
      <c r="B80" s="137"/>
      <c r="C80" s="184" t="s">
        <v>100</v>
      </c>
      <c r="D80" s="173" t="s">
        <v>27</v>
      </c>
      <c r="E80" s="256">
        <v>10</v>
      </c>
      <c r="F80" s="47"/>
      <c r="G80" s="47"/>
      <c r="H80" s="185"/>
      <c r="I80" s="47"/>
      <c r="J80" s="47"/>
      <c r="K80" s="54"/>
      <c r="L80" s="90"/>
      <c r="M80" s="90"/>
      <c r="N80" s="90"/>
      <c r="O80" s="90"/>
      <c r="P80" s="90"/>
      <c r="Q80" s="90"/>
      <c r="R80" s="90"/>
      <c r="S80" s="90"/>
      <c r="T80" s="90"/>
    </row>
    <row r="81" spans="1:20" s="91" customFormat="1">
      <c r="A81" s="86" t="s">
        <v>346</v>
      </c>
      <c r="B81" s="137"/>
      <c r="C81" s="191" t="s">
        <v>32</v>
      </c>
      <c r="D81" s="173" t="s">
        <v>28</v>
      </c>
      <c r="E81" s="47">
        <v>61.41</v>
      </c>
      <c r="F81" s="47"/>
      <c r="G81" s="47"/>
      <c r="H81" s="47"/>
      <c r="I81" s="47"/>
      <c r="J81" s="47"/>
      <c r="K81" s="54"/>
      <c r="L81" s="90"/>
      <c r="M81" s="90"/>
      <c r="N81" s="90"/>
      <c r="O81" s="90"/>
      <c r="P81" s="90"/>
      <c r="Q81" s="90"/>
      <c r="R81" s="90"/>
      <c r="S81" s="90"/>
      <c r="T81" s="90"/>
    </row>
    <row r="82" spans="1:20" s="91" customFormat="1">
      <c r="A82" s="86" t="s">
        <v>347</v>
      </c>
      <c r="B82" s="137"/>
      <c r="C82" s="191" t="s">
        <v>52</v>
      </c>
      <c r="D82" s="173" t="s">
        <v>27</v>
      </c>
      <c r="E82" s="47">
        <v>4</v>
      </c>
      <c r="F82" s="47"/>
      <c r="G82" s="47"/>
      <c r="H82" s="47"/>
      <c r="I82" s="47"/>
      <c r="J82" s="47"/>
      <c r="K82" s="54"/>
      <c r="L82" s="90"/>
      <c r="M82" s="90"/>
      <c r="N82" s="90"/>
      <c r="O82" s="90"/>
      <c r="P82" s="90"/>
      <c r="Q82" s="90"/>
      <c r="R82" s="90"/>
      <c r="S82" s="90"/>
      <c r="T82" s="90"/>
    </row>
    <row r="83" spans="1:20" s="91" customFormat="1">
      <c r="A83" s="86" t="s">
        <v>348</v>
      </c>
      <c r="B83" s="137"/>
      <c r="C83" s="191" t="s">
        <v>313</v>
      </c>
      <c r="D83" s="173" t="s">
        <v>27</v>
      </c>
      <c r="E83" s="47">
        <v>1</v>
      </c>
      <c r="F83" s="47"/>
      <c r="G83" s="47"/>
      <c r="H83" s="47"/>
      <c r="I83" s="47"/>
      <c r="J83" s="47"/>
      <c r="K83" s="54"/>
      <c r="L83" s="90"/>
      <c r="M83" s="90"/>
      <c r="N83" s="90"/>
      <c r="O83" s="90"/>
      <c r="P83" s="90"/>
      <c r="Q83" s="90"/>
      <c r="R83" s="90"/>
      <c r="S83" s="90"/>
      <c r="T83" s="90"/>
    </row>
    <row r="84" spans="1:20" s="91" customFormat="1">
      <c r="A84" s="86" t="s">
        <v>349</v>
      </c>
      <c r="B84" s="137"/>
      <c r="C84" s="186" t="s">
        <v>314</v>
      </c>
      <c r="D84" s="173" t="s">
        <v>27</v>
      </c>
      <c r="E84" s="47">
        <v>3</v>
      </c>
      <c r="F84" s="186"/>
      <c r="G84" s="47"/>
      <c r="H84" s="47"/>
      <c r="I84" s="47"/>
      <c r="J84" s="47"/>
      <c r="K84" s="54"/>
      <c r="L84" s="90"/>
      <c r="M84" s="90"/>
      <c r="N84" s="90"/>
      <c r="O84" s="90"/>
      <c r="P84" s="90"/>
      <c r="Q84" s="90"/>
      <c r="R84" s="90"/>
      <c r="S84" s="90"/>
      <c r="T84" s="90"/>
    </row>
    <row r="85" spans="1:20" s="91" customFormat="1">
      <c r="A85" s="86" t="s">
        <v>350</v>
      </c>
      <c r="B85" s="137"/>
      <c r="C85" s="186" t="s">
        <v>91</v>
      </c>
      <c r="D85" s="173" t="s">
        <v>27</v>
      </c>
      <c r="E85" s="47">
        <v>13</v>
      </c>
      <c r="F85" s="186"/>
      <c r="G85" s="47"/>
      <c r="H85" s="186"/>
      <c r="I85" s="47"/>
      <c r="J85" s="47"/>
      <c r="K85" s="54"/>
      <c r="L85" s="90"/>
      <c r="M85" s="90"/>
      <c r="N85" s="90"/>
      <c r="O85" s="90"/>
      <c r="P85" s="90"/>
      <c r="Q85" s="90"/>
      <c r="R85" s="90"/>
      <c r="S85" s="90"/>
      <c r="T85" s="90"/>
    </row>
    <row r="86" spans="1:20" s="91" customFormat="1">
      <c r="A86" s="86" t="s">
        <v>351</v>
      </c>
      <c r="B86" s="359" t="s">
        <v>852</v>
      </c>
      <c r="C86" s="186" t="s">
        <v>50</v>
      </c>
      <c r="D86" s="173" t="s">
        <v>27</v>
      </c>
      <c r="E86" s="47">
        <v>4</v>
      </c>
      <c r="F86" s="47"/>
      <c r="G86" s="47"/>
      <c r="H86" s="186"/>
      <c r="I86" s="47"/>
      <c r="J86" s="47"/>
      <c r="K86" s="54"/>
      <c r="L86" s="90"/>
      <c r="M86" s="90"/>
      <c r="N86" s="90"/>
      <c r="O86" s="90"/>
      <c r="P86" s="90"/>
      <c r="Q86" s="90"/>
      <c r="R86" s="90"/>
      <c r="S86" s="90"/>
      <c r="T86" s="90"/>
    </row>
    <row r="87" spans="1:20" s="91" customFormat="1">
      <c r="A87" s="86" t="s">
        <v>386</v>
      </c>
      <c r="B87" s="137"/>
      <c r="C87" s="186" t="s">
        <v>93</v>
      </c>
      <c r="D87" s="173" t="s">
        <v>27</v>
      </c>
      <c r="E87" s="47">
        <v>1</v>
      </c>
      <c r="F87" s="47"/>
      <c r="G87" s="47"/>
      <c r="H87" s="186"/>
      <c r="I87" s="47"/>
      <c r="J87" s="47"/>
      <c r="K87" s="54"/>
      <c r="L87" s="90"/>
      <c r="M87" s="90"/>
      <c r="N87" s="90"/>
      <c r="O87" s="90"/>
      <c r="P87" s="90"/>
      <c r="Q87" s="90"/>
      <c r="R87" s="90"/>
      <c r="S87" s="90"/>
      <c r="T87" s="90"/>
    </row>
    <row r="88" spans="1:20" s="91" customFormat="1">
      <c r="A88" s="86" t="s">
        <v>387</v>
      </c>
      <c r="B88" s="137"/>
      <c r="C88" s="186" t="s">
        <v>334</v>
      </c>
      <c r="D88" s="173" t="s">
        <v>27</v>
      </c>
      <c r="E88" s="47">
        <v>1</v>
      </c>
      <c r="F88" s="47"/>
      <c r="G88" s="47"/>
      <c r="H88" s="186"/>
      <c r="I88" s="47"/>
      <c r="J88" s="47"/>
      <c r="K88" s="54"/>
      <c r="L88" s="90"/>
      <c r="M88" s="90"/>
      <c r="N88" s="90"/>
      <c r="O88" s="90"/>
      <c r="P88" s="90"/>
      <c r="Q88" s="90"/>
      <c r="R88" s="90"/>
      <c r="S88" s="90"/>
      <c r="T88" s="90"/>
    </row>
    <row r="89" spans="1:20">
      <c r="A89" s="479" t="s">
        <v>84</v>
      </c>
      <c r="B89" s="480"/>
      <c r="C89" s="480"/>
      <c r="D89" s="480"/>
      <c r="E89" s="480"/>
      <c r="F89" s="480"/>
      <c r="G89" s="480"/>
      <c r="H89" s="480"/>
      <c r="I89" s="481"/>
      <c r="J89" s="23"/>
      <c r="K89" s="39"/>
      <c r="L89" s="11"/>
      <c r="M89" s="11"/>
      <c r="N89" s="11"/>
      <c r="O89" s="11"/>
      <c r="P89" s="11"/>
      <c r="Q89" s="11"/>
      <c r="R89" s="11"/>
      <c r="S89" s="11"/>
      <c r="T89" s="11"/>
    </row>
    <row r="90" spans="1:20" s="53" customFormat="1">
      <c r="A90" s="60" t="s">
        <v>46</v>
      </c>
      <c r="B90" s="486" t="s">
        <v>112</v>
      </c>
      <c r="C90" s="487"/>
      <c r="D90" s="487"/>
      <c r="E90" s="487"/>
      <c r="F90" s="487"/>
      <c r="G90" s="487"/>
      <c r="H90" s="487"/>
      <c r="I90" s="487"/>
      <c r="J90" s="487"/>
      <c r="K90" s="488"/>
      <c r="L90" s="11"/>
      <c r="M90" s="11"/>
      <c r="N90" s="11"/>
      <c r="O90" s="11"/>
      <c r="P90" s="11"/>
      <c r="Q90" s="11"/>
      <c r="R90" s="11"/>
      <c r="S90" s="11"/>
      <c r="T90" s="11"/>
    </row>
    <row r="91" spans="1:20" s="53" customFormat="1">
      <c r="A91" s="48" t="s">
        <v>352</v>
      </c>
      <c r="B91" s="48"/>
      <c r="C91" s="184" t="s">
        <v>94</v>
      </c>
      <c r="D91" s="205" t="s">
        <v>28</v>
      </c>
      <c r="E91" s="261">
        <v>30</v>
      </c>
      <c r="F91" s="47"/>
      <c r="G91" s="47"/>
      <c r="H91" s="47"/>
      <c r="I91" s="47"/>
      <c r="J91" s="47"/>
      <c r="K91" s="54"/>
      <c r="L91" s="11"/>
      <c r="M91" s="11"/>
      <c r="N91" s="11"/>
      <c r="O91" s="11"/>
      <c r="P91" s="11"/>
      <c r="Q91" s="11"/>
      <c r="R91" s="11"/>
      <c r="S91" s="11"/>
      <c r="T91" s="11"/>
    </row>
    <row r="92" spans="1:20" s="53" customFormat="1">
      <c r="A92" s="48" t="s">
        <v>353</v>
      </c>
      <c r="B92" s="48"/>
      <c r="C92" s="184" t="s">
        <v>95</v>
      </c>
      <c r="D92" s="173" t="s">
        <v>27</v>
      </c>
      <c r="E92" s="261">
        <v>1</v>
      </c>
      <c r="F92" s="185"/>
      <c r="G92" s="47"/>
      <c r="H92" s="185"/>
      <c r="I92" s="47"/>
      <c r="J92" s="47"/>
      <c r="K92" s="54"/>
      <c r="L92" s="11"/>
      <c r="M92" s="11"/>
      <c r="N92" s="11"/>
      <c r="O92" s="11"/>
      <c r="P92" s="11"/>
      <c r="Q92" s="11"/>
      <c r="R92" s="11"/>
      <c r="S92" s="11"/>
      <c r="T92" s="11"/>
    </row>
    <row r="93" spans="1:20" s="53" customFormat="1">
      <c r="A93" s="48" t="s">
        <v>354</v>
      </c>
      <c r="B93" s="48"/>
      <c r="C93" s="184" t="s">
        <v>99</v>
      </c>
      <c r="D93" s="173" t="s">
        <v>27</v>
      </c>
      <c r="E93" s="261">
        <v>1</v>
      </c>
      <c r="F93" s="185"/>
      <c r="G93" s="47"/>
      <c r="H93" s="185"/>
      <c r="I93" s="47"/>
      <c r="J93" s="47"/>
      <c r="K93" s="54"/>
      <c r="L93" s="11"/>
      <c r="M93" s="11"/>
      <c r="N93" s="11"/>
      <c r="O93" s="11"/>
      <c r="P93" s="11"/>
      <c r="Q93" s="11"/>
      <c r="R93" s="11"/>
      <c r="S93" s="11"/>
      <c r="T93" s="11"/>
    </row>
    <row r="94" spans="1:20" s="53" customFormat="1" ht="24.75">
      <c r="A94" s="48" t="s">
        <v>355</v>
      </c>
      <c r="B94" s="48"/>
      <c r="C94" s="206" t="s">
        <v>97</v>
      </c>
      <c r="D94" s="171" t="s">
        <v>27</v>
      </c>
      <c r="E94" s="261">
        <v>1</v>
      </c>
      <c r="F94" s="185"/>
      <c r="G94" s="257"/>
      <c r="H94" s="185"/>
      <c r="I94" s="257"/>
      <c r="J94" s="257"/>
      <c r="K94" s="54"/>
      <c r="L94" s="11"/>
      <c r="M94" s="11"/>
      <c r="N94" s="11"/>
      <c r="O94" s="11"/>
      <c r="P94" s="11"/>
      <c r="Q94" s="11"/>
      <c r="R94" s="11"/>
      <c r="S94" s="11"/>
      <c r="T94" s="11"/>
    </row>
    <row r="95" spans="1:20" s="53" customFormat="1">
      <c r="A95" s="48" t="s">
        <v>356</v>
      </c>
      <c r="B95" s="48"/>
      <c r="C95" s="184" t="s">
        <v>98</v>
      </c>
      <c r="D95" s="205" t="s">
        <v>28</v>
      </c>
      <c r="E95" s="261">
        <v>60.3</v>
      </c>
      <c r="F95" s="185"/>
      <c r="G95" s="47"/>
      <c r="H95" s="185"/>
      <c r="I95" s="47"/>
      <c r="J95" s="47"/>
      <c r="K95" s="54"/>
      <c r="L95" s="11"/>
      <c r="M95" s="11"/>
      <c r="N95" s="11"/>
      <c r="O95" s="11"/>
      <c r="P95" s="11"/>
      <c r="Q95" s="11"/>
      <c r="R95" s="11"/>
      <c r="S95" s="11"/>
      <c r="T95" s="11"/>
    </row>
    <row r="96" spans="1:20" s="53" customFormat="1">
      <c r="A96" s="48" t="s">
        <v>357</v>
      </c>
      <c r="B96" s="48"/>
      <c r="C96" s="207" t="s">
        <v>96</v>
      </c>
      <c r="D96" s="208" t="s">
        <v>28</v>
      </c>
      <c r="E96" s="262">
        <v>60.3</v>
      </c>
      <c r="F96" s="209"/>
      <c r="G96" s="47"/>
      <c r="H96" s="209"/>
      <c r="I96" s="47"/>
      <c r="J96" s="47"/>
      <c r="K96" s="54"/>
      <c r="L96" s="11"/>
      <c r="M96" s="11"/>
      <c r="N96" s="11"/>
      <c r="O96" s="11"/>
      <c r="P96" s="11"/>
      <c r="Q96" s="11"/>
      <c r="R96" s="11"/>
      <c r="S96" s="11"/>
      <c r="T96" s="11"/>
    </row>
    <row r="97" spans="1:20" s="53" customFormat="1">
      <c r="A97" s="48" t="s">
        <v>358</v>
      </c>
      <c r="B97" s="48"/>
      <c r="C97" s="203" t="s">
        <v>48</v>
      </c>
      <c r="D97" s="173" t="s">
        <v>27</v>
      </c>
      <c r="E97" s="172">
        <v>2</v>
      </c>
      <c r="F97" s="47"/>
      <c r="G97" s="47"/>
      <c r="H97" s="47"/>
      <c r="I97" s="47"/>
      <c r="J97" s="47"/>
      <c r="K97" s="54"/>
      <c r="L97" s="11"/>
      <c r="M97" s="11"/>
      <c r="N97" s="11"/>
      <c r="O97" s="11"/>
      <c r="P97" s="11"/>
      <c r="Q97" s="11"/>
      <c r="R97" s="11"/>
      <c r="S97" s="11"/>
      <c r="T97" s="11"/>
    </row>
    <row r="98" spans="1:20" s="53" customFormat="1">
      <c r="A98" s="482" t="s">
        <v>85</v>
      </c>
      <c r="B98" s="483"/>
      <c r="C98" s="483"/>
      <c r="D98" s="483"/>
      <c r="E98" s="483"/>
      <c r="F98" s="483"/>
      <c r="G98" s="483"/>
      <c r="H98" s="483"/>
      <c r="I98" s="484"/>
      <c r="J98" s="61"/>
      <c r="K98" s="61"/>
      <c r="L98" s="11"/>
      <c r="M98" s="11"/>
      <c r="N98" s="11"/>
      <c r="O98" s="11"/>
      <c r="P98" s="11"/>
      <c r="Q98" s="11"/>
      <c r="R98" s="11"/>
      <c r="S98" s="11"/>
      <c r="T98" s="11"/>
    </row>
    <row r="99" spans="1:20" s="53" customFormat="1">
      <c r="A99" s="60" t="s">
        <v>138</v>
      </c>
      <c r="B99" s="559" t="s">
        <v>54</v>
      </c>
      <c r="C99" s="560"/>
      <c r="D99" s="560"/>
      <c r="E99" s="560"/>
      <c r="F99" s="560"/>
      <c r="G99" s="560"/>
      <c r="H99" s="560"/>
      <c r="I99" s="560"/>
      <c r="J99" s="560"/>
      <c r="K99" s="561"/>
      <c r="L99" s="11"/>
      <c r="M99" s="11"/>
      <c r="N99" s="11"/>
      <c r="O99" s="11"/>
      <c r="P99" s="11"/>
      <c r="Q99" s="11"/>
      <c r="R99" s="11"/>
      <c r="S99" s="11"/>
      <c r="T99" s="11"/>
    </row>
    <row r="100" spans="1:20" s="53" customFormat="1">
      <c r="A100" s="48" t="s">
        <v>359</v>
      </c>
      <c r="B100" s="365" t="s">
        <v>747</v>
      </c>
      <c r="C100" s="186" t="s">
        <v>336</v>
      </c>
      <c r="D100" s="173" t="s">
        <v>28</v>
      </c>
      <c r="E100" s="47">
        <v>58.4</v>
      </c>
      <c r="F100" s="47"/>
      <c r="G100" s="47"/>
      <c r="H100" s="47"/>
      <c r="I100" s="47"/>
      <c r="J100" s="47"/>
      <c r="K100" s="54"/>
      <c r="L100" s="11"/>
      <c r="M100" s="11"/>
      <c r="N100" s="395"/>
      <c r="O100" s="372"/>
      <c r="P100" s="11"/>
      <c r="Q100" s="11"/>
      <c r="R100" s="11"/>
      <c r="S100" s="11"/>
      <c r="T100" s="11"/>
    </row>
    <row r="101" spans="1:20" s="53" customFormat="1">
      <c r="A101" s="48" t="s">
        <v>360</v>
      </c>
      <c r="B101" s="365" t="s">
        <v>857</v>
      </c>
      <c r="C101" s="186" t="s">
        <v>338</v>
      </c>
      <c r="D101" s="173" t="s">
        <v>28</v>
      </c>
      <c r="E101" s="47">
        <v>7.4</v>
      </c>
      <c r="F101" s="47"/>
      <c r="G101" s="47"/>
      <c r="H101" s="47"/>
      <c r="I101" s="47"/>
      <c r="J101" s="47"/>
      <c r="K101" s="54"/>
      <c r="L101" s="11"/>
      <c r="M101" s="11"/>
      <c r="N101" s="395"/>
      <c r="O101" s="372"/>
      <c r="P101" s="11"/>
      <c r="Q101" s="11"/>
      <c r="R101" s="11"/>
      <c r="S101" s="11"/>
      <c r="T101" s="11"/>
    </row>
    <row r="102" spans="1:20" s="53" customFormat="1">
      <c r="A102" s="48" t="s">
        <v>361</v>
      </c>
      <c r="B102" s="365" t="s">
        <v>859</v>
      </c>
      <c r="C102" s="186" t="s">
        <v>339</v>
      </c>
      <c r="D102" s="173" t="s">
        <v>28</v>
      </c>
      <c r="E102" s="47">
        <v>47.69</v>
      </c>
      <c r="F102" s="47"/>
      <c r="G102" s="47"/>
      <c r="H102" s="47"/>
      <c r="I102" s="47"/>
      <c r="J102" s="47"/>
      <c r="K102" s="54"/>
      <c r="L102" s="11"/>
      <c r="M102" s="11"/>
      <c r="N102" s="395"/>
      <c r="O102" s="372"/>
      <c r="P102" s="11"/>
      <c r="Q102" s="11"/>
      <c r="R102" s="11"/>
      <c r="S102" s="11"/>
      <c r="T102" s="11"/>
    </row>
    <row r="103" spans="1:20" s="53" customFormat="1">
      <c r="A103" s="48" t="s">
        <v>362</v>
      </c>
      <c r="B103" s="365" t="s">
        <v>862</v>
      </c>
      <c r="C103" s="186" t="s">
        <v>340</v>
      </c>
      <c r="D103" s="173" t="s">
        <v>28</v>
      </c>
      <c r="E103" s="47">
        <v>10.93</v>
      </c>
      <c r="F103" s="47"/>
      <c r="G103" s="47"/>
      <c r="H103" s="47"/>
      <c r="I103" s="47"/>
      <c r="J103" s="47"/>
      <c r="K103" s="54"/>
      <c r="L103" s="11"/>
      <c r="M103" s="11"/>
      <c r="N103" s="395"/>
      <c r="O103" s="372"/>
      <c r="P103" s="11"/>
      <c r="Q103" s="11"/>
      <c r="R103" s="11"/>
      <c r="S103" s="11"/>
      <c r="T103" s="11"/>
    </row>
    <row r="104" spans="1:20" s="53" customFormat="1">
      <c r="A104" s="48" t="s">
        <v>363</v>
      </c>
      <c r="B104" s="365">
        <v>72557</v>
      </c>
      <c r="C104" s="186" t="s">
        <v>55</v>
      </c>
      <c r="D104" s="173" t="s">
        <v>27</v>
      </c>
      <c r="E104" s="47">
        <v>5</v>
      </c>
      <c r="F104" s="47"/>
      <c r="G104" s="47"/>
      <c r="H104" s="47"/>
      <c r="I104" s="47"/>
      <c r="J104" s="47"/>
      <c r="K104" s="54"/>
      <c r="L104" s="11"/>
      <c r="M104" s="11"/>
      <c r="N104" s="395"/>
      <c r="O104" s="372"/>
      <c r="P104" s="11"/>
      <c r="Q104" s="11"/>
      <c r="R104" s="11"/>
      <c r="S104" s="11"/>
      <c r="T104" s="11"/>
    </row>
    <row r="105" spans="1:20" s="53" customFormat="1">
      <c r="A105" s="48" t="s">
        <v>364</v>
      </c>
      <c r="B105" s="369">
        <v>72560</v>
      </c>
      <c r="C105" s="186" t="s">
        <v>319</v>
      </c>
      <c r="D105" s="173" t="s">
        <v>27</v>
      </c>
      <c r="E105" s="47">
        <v>3</v>
      </c>
      <c r="F105" s="47"/>
      <c r="G105" s="47"/>
      <c r="H105" s="47"/>
      <c r="I105" s="47"/>
      <c r="J105" s="47"/>
      <c r="K105" s="54"/>
      <c r="L105" s="11"/>
      <c r="M105" s="11"/>
      <c r="N105" s="395"/>
      <c r="O105" s="372"/>
      <c r="P105" s="11"/>
      <c r="Q105" s="11"/>
      <c r="R105" s="11"/>
      <c r="S105" s="11"/>
      <c r="T105" s="11"/>
    </row>
    <row r="106" spans="1:20" s="53" customFormat="1">
      <c r="A106" s="48" t="s">
        <v>365</v>
      </c>
      <c r="B106" s="369">
        <v>72573</v>
      </c>
      <c r="C106" s="186" t="s">
        <v>290</v>
      </c>
      <c r="D106" s="173" t="s">
        <v>27</v>
      </c>
      <c r="E106" s="47">
        <v>12</v>
      </c>
      <c r="F106" s="47"/>
      <c r="G106" s="47"/>
      <c r="H106" s="47"/>
      <c r="I106" s="47"/>
      <c r="J106" s="47"/>
      <c r="K106" s="54"/>
      <c r="L106" s="11"/>
      <c r="M106" s="11"/>
      <c r="N106" s="395"/>
      <c r="O106" s="372"/>
      <c r="P106" s="11"/>
      <c r="Q106" s="11"/>
      <c r="R106" s="11"/>
      <c r="S106" s="11"/>
      <c r="T106" s="11"/>
    </row>
    <row r="107" spans="1:20" s="53" customFormat="1">
      <c r="A107" s="48" t="s">
        <v>366</v>
      </c>
      <c r="B107" s="369">
        <v>72580</v>
      </c>
      <c r="C107" s="186" t="s">
        <v>291</v>
      </c>
      <c r="D107" s="173" t="s">
        <v>27</v>
      </c>
      <c r="E107" s="47">
        <v>3</v>
      </c>
      <c r="F107" s="47"/>
      <c r="G107" s="47"/>
      <c r="H107" s="47"/>
      <c r="I107" s="47"/>
      <c r="J107" s="47"/>
      <c r="K107" s="54"/>
      <c r="L107" s="11"/>
      <c r="M107" s="11"/>
      <c r="N107" s="395"/>
      <c r="O107" s="372"/>
      <c r="P107" s="11"/>
      <c r="Q107" s="11"/>
      <c r="R107" s="11"/>
      <c r="S107" s="11"/>
      <c r="T107" s="11"/>
    </row>
    <row r="108" spans="1:20" s="53" customFormat="1">
      <c r="A108" s="48" t="s">
        <v>367</v>
      </c>
      <c r="B108" s="48"/>
      <c r="C108" s="186" t="s">
        <v>292</v>
      </c>
      <c r="D108" s="173" t="s">
        <v>27</v>
      </c>
      <c r="E108" s="47">
        <v>5</v>
      </c>
      <c r="F108" s="47"/>
      <c r="G108" s="47"/>
      <c r="H108" s="47"/>
      <c r="I108" s="47"/>
      <c r="J108" s="47"/>
      <c r="K108" s="54"/>
      <c r="L108" s="11"/>
      <c r="M108" s="11"/>
      <c r="N108" s="395"/>
      <c r="O108" s="372"/>
      <c r="P108" s="11"/>
      <c r="Q108" s="11"/>
      <c r="R108" s="11"/>
      <c r="S108" s="11"/>
      <c r="T108" s="11"/>
    </row>
    <row r="109" spans="1:20" s="53" customFormat="1">
      <c r="A109" s="48" t="s">
        <v>368</v>
      </c>
      <c r="B109" s="48"/>
      <c r="C109" s="186" t="s">
        <v>58</v>
      </c>
      <c r="D109" s="173" t="s">
        <v>27</v>
      </c>
      <c r="E109" s="47">
        <v>5</v>
      </c>
      <c r="F109" s="47"/>
      <c r="G109" s="47"/>
      <c r="H109" s="47"/>
      <c r="I109" s="47"/>
      <c r="J109" s="47"/>
      <c r="K109" s="54"/>
      <c r="L109" s="11"/>
      <c r="M109" s="11"/>
      <c r="N109" s="395"/>
      <c r="O109" s="372"/>
      <c r="P109" s="11"/>
      <c r="Q109" s="11"/>
      <c r="R109" s="11"/>
      <c r="S109" s="11"/>
      <c r="T109" s="11"/>
    </row>
    <row r="110" spans="1:20" s="53" customFormat="1">
      <c r="A110" s="48" t="s">
        <v>369</v>
      </c>
      <c r="B110" s="48"/>
      <c r="C110" s="186" t="s">
        <v>293</v>
      </c>
      <c r="D110" s="173" t="s">
        <v>27</v>
      </c>
      <c r="E110" s="47">
        <v>3</v>
      </c>
      <c r="F110" s="47"/>
      <c r="G110" s="47"/>
      <c r="H110" s="47"/>
      <c r="I110" s="47"/>
      <c r="J110" s="47"/>
      <c r="K110" s="54"/>
      <c r="L110" s="11"/>
      <c r="M110" s="11"/>
      <c r="N110" s="395"/>
      <c r="O110" s="372"/>
      <c r="P110" s="11"/>
      <c r="Q110" s="11"/>
      <c r="R110" s="11"/>
      <c r="S110" s="11"/>
      <c r="T110" s="11"/>
    </row>
    <row r="111" spans="1:20" s="53" customFormat="1">
      <c r="A111" s="48" t="s">
        <v>370</v>
      </c>
      <c r="B111" s="48"/>
      <c r="C111" s="186" t="s">
        <v>60</v>
      </c>
      <c r="D111" s="173" t="s">
        <v>27</v>
      </c>
      <c r="E111" s="47">
        <v>1</v>
      </c>
      <c r="F111" s="47"/>
      <c r="G111" s="47"/>
      <c r="H111" s="47"/>
      <c r="I111" s="47"/>
      <c r="J111" s="47"/>
      <c r="K111" s="54"/>
      <c r="L111" s="11"/>
      <c r="M111" s="11"/>
      <c r="N111" s="403"/>
      <c r="O111" s="372"/>
      <c r="P111" s="11"/>
      <c r="Q111" s="11"/>
      <c r="R111" s="11"/>
      <c r="S111" s="11"/>
      <c r="T111" s="11"/>
    </row>
    <row r="112" spans="1:20" s="53" customFormat="1">
      <c r="A112" s="48" t="s">
        <v>371</v>
      </c>
      <c r="B112" s="48"/>
      <c r="C112" s="186" t="s">
        <v>62</v>
      </c>
      <c r="D112" s="173" t="s">
        <v>27</v>
      </c>
      <c r="E112" s="47">
        <v>1</v>
      </c>
      <c r="F112" s="47"/>
      <c r="G112" s="47"/>
      <c r="H112" s="47"/>
      <c r="I112" s="47"/>
      <c r="J112" s="47"/>
      <c r="K112" s="54"/>
      <c r="L112" s="11"/>
      <c r="M112" s="11"/>
      <c r="N112" s="403"/>
      <c r="O112" s="372"/>
      <c r="P112" s="11"/>
      <c r="Q112" s="11"/>
      <c r="R112" s="11"/>
      <c r="S112" s="11"/>
      <c r="T112" s="11"/>
    </row>
    <row r="113" spans="1:22" s="53" customFormat="1">
      <c r="A113" s="48" t="s">
        <v>372</v>
      </c>
      <c r="B113" s="48"/>
      <c r="C113" s="191" t="s">
        <v>323</v>
      </c>
      <c r="D113" s="173" t="s">
        <v>27</v>
      </c>
      <c r="E113" s="47">
        <v>1</v>
      </c>
      <c r="F113" s="47"/>
      <c r="G113" s="47"/>
      <c r="H113" s="47"/>
      <c r="I113" s="47"/>
      <c r="J113" s="47"/>
      <c r="K113" s="54"/>
      <c r="L113" s="11"/>
      <c r="M113" s="11"/>
      <c r="N113" s="403"/>
      <c r="O113" s="372"/>
      <c r="P113" s="11"/>
      <c r="Q113" s="11"/>
      <c r="R113" s="11"/>
      <c r="S113" s="11"/>
      <c r="T113" s="11"/>
    </row>
    <row r="114" spans="1:22" s="53" customFormat="1">
      <c r="A114" s="48" t="s">
        <v>373</v>
      </c>
      <c r="B114" s="48"/>
      <c r="C114" s="191" t="s">
        <v>296</v>
      </c>
      <c r="D114" s="173" t="s">
        <v>27</v>
      </c>
      <c r="E114" s="47">
        <v>1</v>
      </c>
      <c r="F114" s="47"/>
      <c r="G114" s="47"/>
      <c r="H114" s="47"/>
      <c r="I114" s="47"/>
      <c r="J114" s="47"/>
      <c r="K114" s="54"/>
      <c r="L114" s="11"/>
      <c r="M114" s="11"/>
      <c r="N114" s="403"/>
      <c r="O114" s="372"/>
      <c r="P114" s="11"/>
      <c r="Q114" s="11"/>
      <c r="R114" s="11"/>
      <c r="S114" s="11"/>
      <c r="T114" s="11"/>
    </row>
    <row r="115" spans="1:22" s="53" customFormat="1">
      <c r="A115" s="48" t="s">
        <v>374</v>
      </c>
      <c r="B115" s="48"/>
      <c r="C115" s="186" t="s">
        <v>298</v>
      </c>
      <c r="D115" s="173" t="s">
        <v>27</v>
      </c>
      <c r="E115" s="47">
        <v>1</v>
      </c>
      <c r="F115" s="47"/>
      <c r="G115" s="47"/>
      <c r="H115" s="47"/>
      <c r="I115" s="47"/>
      <c r="J115" s="47"/>
      <c r="K115" s="54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2" s="53" customFormat="1">
      <c r="A116" s="48" t="s">
        <v>375</v>
      </c>
      <c r="B116" s="48"/>
      <c r="C116" s="186" t="s">
        <v>63</v>
      </c>
      <c r="D116" s="173" t="s">
        <v>27</v>
      </c>
      <c r="E116" s="47">
        <v>1</v>
      </c>
      <c r="F116" s="47"/>
      <c r="G116" s="47"/>
      <c r="H116" s="47"/>
      <c r="I116" s="47"/>
      <c r="J116" s="47"/>
      <c r="K116" s="54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2" s="53" customFormat="1">
      <c r="A117" s="48" t="s">
        <v>376</v>
      </c>
      <c r="B117" s="48"/>
      <c r="C117" s="186" t="s">
        <v>302</v>
      </c>
      <c r="D117" s="173" t="s">
        <v>27</v>
      </c>
      <c r="E117" s="47">
        <v>1</v>
      </c>
      <c r="F117" s="47"/>
      <c r="G117" s="47"/>
      <c r="H117" s="47"/>
      <c r="I117" s="47"/>
      <c r="J117" s="47"/>
      <c r="K117" s="54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2" s="53" customFormat="1">
      <c r="A118" s="48" t="s">
        <v>377</v>
      </c>
      <c r="B118" s="48"/>
      <c r="C118" s="186" t="s">
        <v>303</v>
      </c>
      <c r="D118" s="173" t="s">
        <v>27</v>
      </c>
      <c r="E118" s="47">
        <v>5</v>
      </c>
      <c r="F118" s="47"/>
      <c r="G118" s="47"/>
      <c r="H118" s="47"/>
      <c r="I118" s="47"/>
      <c r="J118" s="47"/>
      <c r="K118" s="54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2" s="53" customFormat="1">
      <c r="A119" s="48" t="s">
        <v>378</v>
      </c>
      <c r="B119" s="48"/>
      <c r="C119" s="186" t="s">
        <v>65</v>
      </c>
      <c r="D119" s="173" t="s">
        <v>27</v>
      </c>
      <c r="E119" s="47">
        <v>1</v>
      </c>
      <c r="F119" s="47"/>
      <c r="G119" s="47"/>
      <c r="H119" s="47"/>
      <c r="I119" s="47"/>
      <c r="J119" s="47"/>
      <c r="K119" s="54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1:22" s="53" customFormat="1">
      <c r="A120" s="48" t="s">
        <v>379</v>
      </c>
      <c r="B120" s="48"/>
      <c r="C120" s="186" t="s">
        <v>636</v>
      </c>
      <c r="D120" s="173" t="s">
        <v>27</v>
      </c>
      <c r="E120" s="47">
        <v>1</v>
      </c>
      <c r="F120" s="47"/>
      <c r="G120" s="47"/>
      <c r="H120" s="47"/>
      <c r="I120" s="47"/>
      <c r="J120" s="47"/>
      <c r="K120" s="54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1:22" s="53" customFormat="1">
      <c r="A121" s="48" t="s">
        <v>385</v>
      </c>
      <c r="B121" s="48"/>
      <c r="C121" s="186" t="s">
        <v>625</v>
      </c>
      <c r="D121" s="173" t="s">
        <v>27</v>
      </c>
      <c r="E121" s="47">
        <v>1</v>
      </c>
      <c r="F121" s="47"/>
      <c r="G121" s="47"/>
      <c r="H121" s="47"/>
      <c r="I121" s="47"/>
      <c r="J121" s="47"/>
      <c r="K121" s="54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2" s="53" customFormat="1">
      <c r="A122" s="48" t="s">
        <v>391</v>
      </c>
      <c r="B122" s="48"/>
      <c r="C122" s="186" t="s">
        <v>626</v>
      </c>
      <c r="D122" s="173" t="s">
        <v>27</v>
      </c>
      <c r="E122" s="47">
        <v>1</v>
      </c>
      <c r="F122" s="47"/>
      <c r="G122" s="47"/>
      <c r="H122" s="47"/>
      <c r="I122" s="47"/>
      <c r="J122" s="47"/>
      <c r="K122" s="54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1:22" s="53" customFormat="1">
      <c r="A123" s="48" t="s">
        <v>392</v>
      </c>
      <c r="B123" s="48"/>
      <c r="C123" s="186" t="s">
        <v>627</v>
      </c>
      <c r="D123" s="173" t="s">
        <v>27</v>
      </c>
      <c r="E123" s="47">
        <v>1</v>
      </c>
      <c r="F123" s="47"/>
      <c r="G123" s="47"/>
      <c r="H123" s="47"/>
      <c r="I123" s="47"/>
      <c r="J123" s="47"/>
      <c r="K123" s="54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1:22">
      <c r="A124" s="479" t="s">
        <v>139</v>
      </c>
      <c r="B124" s="480"/>
      <c r="C124" s="480"/>
      <c r="D124" s="480"/>
      <c r="E124" s="480"/>
      <c r="F124" s="480"/>
      <c r="G124" s="480"/>
      <c r="H124" s="480"/>
      <c r="I124" s="481"/>
      <c r="J124" s="23"/>
      <c r="K124" s="39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2" s="74" customFormat="1">
      <c r="A125" s="70" t="s">
        <v>113</v>
      </c>
      <c r="B125" s="477" t="s">
        <v>114</v>
      </c>
      <c r="C125" s="478"/>
      <c r="D125" s="478"/>
      <c r="E125" s="478"/>
      <c r="F125" s="478"/>
      <c r="G125" s="478"/>
      <c r="H125" s="478"/>
      <c r="I125" s="478"/>
      <c r="J125" s="478"/>
      <c r="K125" s="478"/>
      <c r="L125" s="78"/>
      <c r="M125" s="73"/>
      <c r="N125" s="73"/>
      <c r="O125" s="73"/>
      <c r="P125" s="73"/>
      <c r="Q125" s="73"/>
      <c r="R125" s="73"/>
      <c r="S125" s="73"/>
      <c r="T125" s="73"/>
      <c r="U125" s="73"/>
      <c r="V125" s="73"/>
    </row>
    <row r="126" spans="1:22" s="154" customFormat="1" ht="14.25">
      <c r="A126" s="124" t="s">
        <v>115</v>
      </c>
      <c r="B126" s="180">
        <v>72075</v>
      </c>
      <c r="C126" s="183" t="s">
        <v>342</v>
      </c>
      <c r="D126" s="182" t="s">
        <v>29</v>
      </c>
      <c r="E126" s="117">
        <f>E140+E143</f>
        <v>292.71000000000004</v>
      </c>
      <c r="F126" s="183"/>
      <c r="G126" s="47"/>
      <c r="H126" s="183"/>
      <c r="I126" s="47"/>
      <c r="J126" s="47"/>
      <c r="K126" s="47"/>
      <c r="L126" s="120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</row>
    <row r="127" spans="1:22" s="74" customFormat="1">
      <c r="A127" s="462" t="s">
        <v>117</v>
      </c>
      <c r="B127" s="463"/>
      <c r="C127" s="463"/>
      <c r="D127" s="463"/>
      <c r="E127" s="463"/>
      <c r="F127" s="463"/>
      <c r="G127" s="463"/>
      <c r="H127" s="463"/>
      <c r="I127" s="464"/>
      <c r="J127" s="23"/>
      <c r="K127" s="23"/>
      <c r="L127" s="79"/>
      <c r="M127" s="73"/>
      <c r="N127" s="73"/>
      <c r="O127" s="73"/>
      <c r="P127" s="73"/>
      <c r="Q127" s="73"/>
      <c r="R127" s="73"/>
      <c r="S127" s="73"/>
      <c r="T127" s="73"/>
      <c r="U127" s="73"/>
      <c r="V127" s="73"/>
    </row>
    <row r="128" spans="1:22">
      <c r="A128" s="60" t="s">
        <v>140</v>
      </c>
      <c r="B128" s="458" t="s">
        <v>118</v>
      </c>
      <c r="C128" s="459"/>
      <c r="D128" s="459"/>
      <c r="E128" s="459"/>
      <c r="F128" s="459"/>
      <c r="G128" s="459"/>
      <c r="H128" s="459"/>
      <c r="I128" s="459"/>
      <c r="J128" s="459"/>
      <c r="K128" s="473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0" s="53" customFormat="1">
      <c r="A129" s="96" t="s">
        <v>380</v>
      </c>
      <c r="B129" s="96"/>
      <c r="C129" s="140" t="s">
        <v>304</v>
      </c>
      <c r="D129" s="141" t="s">
        <v>27</v>
      </c>
      <c r="E129" s="47">
        <v>1</v>
      </c>
      <c r="F129" s="140"/>
      <c r="G129" s="140"/>
      <c r="H129" s="140"/>
      <c r="I129" s="140"/>
      <c r="J129" s="140"/>
      <c r="K129" s="21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0" s="53" customFormat="1">
      <c r="A130" s="96" t="s">
        <v>381</v>
      </c>
      <c r="B130" s="96"/>
      <c r="C130" s="62" t="s">
        <v>305</v>
      </c>
      <c r="D130" s="141" t="s">
        <v>27</v>
      </c>
      <c r="E130" s="47">
        <v>1</v>
      </c>
      <c r="F130" s="140"/>
      <c r="G130" s="140"/>
      <c r="H130" s="140"/>
      <c r="I130" s="140"/>
      <c r="J130" s="140"/>
      <c r="K130" s="21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1:20" s="53" customFormat="1">
      <c r="A131" s="96" t="s">
        <v>384</v>
      </c>
      <c r="B131" s="96"/>
      <c r="C131" s="140" t="s">
        <v>310</v>
      </c>
      <c r="D131" s="141" t="s">
        <v>27</v>
      </c>
      <c r="E131" s="47">
        <v>1</v>
      </c>
      <c r="F131" s="25"/>
      <c r="G131" s="140"/>
      <c r="H131" s="25"/>
      <c r="I131" s="140"/>
      <c r="J131" s="140"/>
      <c r="K131" s="21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1:20">
      <c r="A132" s="479" t="s">
        <v>141</v>
      </c>
      <c r="B132" s="480"/>
      <c r="C132" s="480"/>
      <c r="D132" s="480"/>
      <c r="E132" s="480"/>
      <c r="F132" s="480"/>
      <c r="G132" s="480"/>
      <c r="H132" s="480"/>
      <c r="I132" s="481"/>
      <c r="J132" s="23"/>
      <c r="K132" s="39"/>
    </row>
    <row r="133" spans="1:20">
      <c r="A133" s="60" t="s">
        <v>142</v>
      </c>
      <c r="B133" s="458" t="s">
        <v>7</v>
      </c>
      <c r="C133" s="459"/>
      <c r="D133" s="459"/>
      <c r="E133" s="459"/>
      <c r="F133" s="459"/>
      <c r="G133" s="459"/>
      <c r="H133" s="459"/>
      <c r="I133" s="459"/>
      <c r="J133" s="459"/>
      <c r="K133" s="473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1:20" s="53" customFormat="1" ht="24.75">
      <c r="A134" s="48" t="s">
        <v>143</v>
      </c>
      <c r="B134" s="197">
        <v>5974</v>
      </c>
      <c r="C134" s="58" t="s">
        <v>209</v>
      </c>
      <c r="D134" s="50" t="s">
        <v>29</v>
      </c>
      <c r="E134" s="47">
        <f>(E57+E58)*2</f>
        <v>383.53599999999994</v>
      </c>
      <c r="F134" s="47"/>
      <c r="G134" s="47"/>
      <c r="H134" s="47"/>
      <c r="I134" s="47"/>
      <c r="J134" s="47"/>
      <c r="K134" s="47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0" s="53" customFormat="1" ht="24.75">
      <c r="A135" s="48" t="s">
        <v>144</v>
      </c>
      <c r="B135" s="197">
        <v>5975</v>
      </c>
      <c r="C135" s="58" t="s">
        <v>210</v>
      </c>
      <c r="D135" s="50" t="s">
        <v>29</v>
      </c>
      <c r="E135" s="47">
        <f>E13-(6*6)</f>
        <v>144.66999999999999</v>
      </c>
      <c r="F135" s="47"/>
      <c r="G135" s="47"/>
      <c r="H135" s="47"/>
      <c r="I135" s="47"/>
      <c r="J135" s="47"/>
      <c r="K135" s="47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1:20" s="53" customFormat="1" ht="24.75">
      <c r="A136" s="48" t="s">
        <v>145</v>
      </c>
      <c r="B136" s="197">
        <v>5982</v>
      </c>
      <c r="C136" s="58" t="s">
        <v>211</v>
      </c>
      <c r="D136" s="50" t="s">
        <v>29</v>
      </c>
      <c r="E136" s="47">
        <f>E135</f>
        <v>144.66999999999999</v>
      </c>
      <c r="F136" s="47"/>
      <c r="G136" s="47"/>
      <c r="H136" s="47"/>
      <c r="I136" s="47"/>
      <c r="J136" s="47"/>
      <c r="K136" s="47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1:20" s="53" customFormat="1" ht="24.75">
      <c r="A137" s="48" t="s">
        <v>146</v>
      </c>
      <c r="B137" s="197">
        <v>5992</v>
      </c>
      <c r="C137" s="58" t="s">
        <v>212</v>
      </c>
      <c r="D137" s="50" t="s">
        <v>29</v>
      </c>
      <c r="E137" s="47">
        <f>E134</f>
        <v>383.53599999999994</v>
      </c>
      <c r="F137" s="47"/>
      <c r="G137" s="47"/>
      <c r="H137" s="47"/>
      <c r="I137" s="47"/>
      <c r="J137" s="47"/>
      <c r="K137" s="47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1:20" s="53" customFormat="1" ht="15" customHeight="1">
      <c r="A138" s="48" t="s">
        <v>147</v>
      </c>
      <c r="B138" s="335">
        <v>9536</v>
      </c>
      <c r="C138" s="336" t="s">
        <v>507</v>
      </c>
      <c r="D138" s="337" t="s">
        <v>29</v>
      </c>
      <c r="E138" s="289">
        <f>2*5.12</f>
        <v>10.24</v>
      </c>
      <c r="F138" s="117"/>
      <c r="G138" s="117"/>
      <c r="H138" s="117"/>
      <c r="I138" s="117"/>
      <c r="J138" s="117"/>
      <c r="K138" s="47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20" s="53" customFormat="1" ht="15" customHeight="1">
      <c r="A139" s="48" t="s">
        <v>148</v>
      </c>
      <c r="B139" s="197" t="s">
        <v>840</v>
      </c>
      <c r="C139" s="58" t="s">
        <v>841</v>
      </c>
      <c r="D139" s="50" t="s">
        <v>29</v>
      </c>
      <c r="E139" s="47">
        <v>92.47</v>
      </c>
      <c r="F139" s="117"/>
      <c r="G139" s="117"/>
      <c r="H139" s="117"/>
      <c r="I139" s="117"/>
      <c r="J139" s="117"/>
      <c r="K139" s="47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20" s="53" customFormat="1" ht="24.75">
      <c r="A140" s="48" t="s">
        <v>149</v>
      </c>
      <c r="B140" s="338" t="s">
        <v>269</v>
      </c>
      <c r="C140" s="299" t="s">
        <v>270</v>
      </c>
      <c r="D140" s="339" t="s">
        <v>29</v>
      </c>
      <c r="E140" s="220">
        <f>(17.14+(6*6)+(6*6))*1.1</f>
        <v>98.054000000000002</v>
      </c>
      <c r="F140" s="47"/>
      <c r="G140" s="47"/>
      <c r="H140" s="47"/>
      <c r="I140" s="47"/>
      <c r="J140" s="47"/>
      <c r="K140" s="47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20" s="53" customFormat="1">
      <c r="A141" s="48" t="s">
        <v>150</v>
      </c>
      <c r="B141" s="197" t="s">
        <v>217</v>
      </c>
      <c r="C141" s="193" t="s">
        <v>218</v>
      </c>
      <c r="D141" s="50" t="s">
        <v>28</v>
      </c>
      <c r="E141" s="47">
        <f>1.5*1.1</f>
        <v>1.6500000000000001</v>
      </c>
      <c r="F141" s="47"/>
      <c r="G141" s="47"/>
      <c r="H141" s="47"/>
      <c r="I141" s="47"/>
      <c r="J141" s="47"/>
      <c r="K141" s="47"/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1:20" s="53" customFormat="1">
      <c r="A142" s="48" t="s">
        <v>382</v>
      </c>
      <c r="B142" s="197" t="s">
        <v>219</v>
      </c>
      <c r="C142" s="194" t="s">
        <v>220</v>
      </c>
      <c r="D142" s="50" t="s">
        <v>28</v>
      </c>
      <c r="E142" s="47">
        <f>((1.8*1)+(0.8*6))*1.1</f>
        <v>7.2600000000000016</v>
      </c>
      <c r="F142" s="47"/>
      <c r="G142" s="47"/>
      <c r="H142" s="47"/>
      <c r="I142" s="47"/>
      <c r="J142" s="47"/>
      <c r="K142" s="47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1:20" s="53" customFormat="1" ht="24.75">
      <c r="A143" s="48" t="s">
        <v>383</v>
      </c>
      <c r="B143" s="197" t="s">
        <v>269</v>
      </c>
      <c r="C143" s="181" t="s">
        <v>694</v>
      </c>
      <c r="D143" s="50" t="s">
        <v>29</v>
      </c>
      <c r="E143" s="47">
        <f>(1.4*((10*6)+(8.3*6)+16.6))*1.1</f>
        <v>194.65600000000003</v>
      </c>
      <c r="F143" s="47"/>
      <c r="G143" s="47"/>
      <c r="H143" s="47"/>
      <c r="I143" s="47"/>
      <c r="J143" s="47"/>
      <c r="K143" s="47"/>
      <c r="L143" s="11"/>
      <c r="M143" s="11"/>
      <c r="N143" s="11"/>
      <c r="O143" s="11"/>
      <c r="P143" s="11"/>
      <c r="Q143" s="11"/>
      <c r="R143" s="11"/>
      <c r="S143" s="11"/>
      <c r="T143" s="11"/>
    </row>
    <row r="144" spans="1:20">
      <c r="A144" s="479" t="s">
        <v>151</v>
      </c>
      <c r="B144" s="480"/>
      <c r="C144" s="480"/>
      <c r="D144" s="480"/>
      <c r="E144" s="480"/>
      <c r="F144" s="480"/>
      <c r="G144" s="480"/>
      <c r="H144" s="480"/>
      <c r="I144" s="481"/>
      <c r="J144" s="22"/>
      <c r="K144" s="22"/>
      <c r="L144" s="77"/>
      <c r="M144" s="11"/>
      <c r="N144" s="11"/>
      <c r="O144" s="11"/>
      <c r="P144" s="11"/>
      <c r="Q144" s="11"/>
      <c r="R144" s="11"/>
      <c r="S144" s="11"/>
      <c r="T144" s="11"/>
    </row>
    <row r="145" spans="1:22" s="74" customFormat="1">
      <c r="A145" s="248" t="s">
        <v>132</v>
      </c>
      <c r="B145" s="448" t="s">
        <v>133</v>
      </c>
      <c r="C145" s="449"/>
      <c r="D145" s="449"/>
      <c r="E145" s="449"/>
      <c r="F145" s="449"/>
      <c r="G145" s="449"/>
      <c r="H145" s="449"/>
      <c r="I145" s="449"/>
      <c r="J145" s="449"/>
      <c r="K145" s="449"/>
      <c r="L145" s="78"/>
      <c r="M145" s="73"/>
      <c r="N145" s="73"/>
      <c r="O145" s="73"/>
      <c r="P145" s="73"/>
      <c r="Q145" s="73"/>
      <c r="R145" s="73"/>
      <c r="S145" s="73"/>
      <c r="T145" s="73"/>
      <c r="U145" s="73"/>
    </row>
    <row r="146" spans="1:22" s="81" customFormat="1">
      <c r="A146" s="80" t="s">
        <v>134</v>
      </c>
      <c r="B146" s="211">
        <v>72116</v>
      </c>
      <c r="C146" s="200" t="s">
        <v>540</v>
      </c>
      <c r="D146" s="92" t="s">
        <v>29</v>
      </c>
      <c r="E146" s="47">
        <f>0.6*0.6*6</f>
        <v>2.16</v>
      </c>
      <c r="F146" s="47"/>
      <c r="G146" s="47"/>
      <c r="H146" s="47"/>
      <c r="I146" s="47"/>
      <c r="J146" s="47"/>
      <c r="K146" s="47"/>
      <c r="L146" s="78"/>
      <c r="M146" s="73"/>
      <c r="N146" s="73"/>
      <c r="O146" s="73"/>
      <c r="P146" s="73"/>
      <c r="Q146" s="73"/>
      <c r="R146" s="73"/>
      <c r="S146" s="73"/>
      <c r="T146" s="73"/>
      <c r="U146" s="73"/>
    </row>
    <row r="147" spans="1:22" s="81" customFormat="1">
      <c r="A147" s="80" t="s">
        <v>135</v>
      </c>
      <c r="B147" s="211">
        <v>72116</v>
      </c>
      <c r="C147" s="200" t="s">
        <v>271</v>
      </c>
      <c r="D147" s="92" t="s">
        <v>29</v>
      </c>
      <c r="E147" s="47">
        <f>1.5*1.2</f>
        <v>1.7999999999999998</v>
      </c>
      <c r="F147" s="47"/>
      <c r="G147" s="47"/>
      <c r="H147" s="47"/>
      <c r="I147" s="47"/>
      <c r="J147" s="47"/>
      <c r="K147" s="47"/>
      <c r="L147" s="78"/>
      <c r="M147" s="73"/>
      <c r="N147" s="73"/>
      <c r="O147" s="73"/>
      <c r="P147" s="73"/>
      <c r="Q147" s="73"/>
      <c r="R147" s="73"/>
      <c r="S147" s="73"/>
      <c r="T147" s="73"/>
      <c r="U147" s="73"/>
    </row>
    <row r="148" spans="1:22" s="74" customFormat="1">
      <c r="A148" s="450" t="s">
        <v>137</v>
      </c>
      <c r="B148" s="451"/>
      <c r="C148" s="451"/>
      <c r="D148" s="451"/>
      <c r="E148" s="451"/>
      <c r="F148" s="451"/>
      <c r="G148" s="451"/>
      <c r="H148" s="451"/>
      <c r="I148" s="452"/>
      <c r="J148" s="22"/>
      <c r="K148" s="22"/>
      <c r="L148" s="79"/>
      <c r="M148" s="73"/>
      <c r="N148" s="73"/>
      <c r="O148" s="73"/>
      <c r="P148" s="73"/>
      <c r="Q148" s="73"/>
      <c r="R148" s="73"/>
      <c r="S148" s="73"/>
      <c r="T148" s="73"/>
      <c r="U148" s="73"/>
    </row>
    <row r="149" spans="1:22" s="53" customFormat="1">
      <c r="A149" s="60" t="s">
        <v>152</v>
      </c>
      <c r="B149" s="453" t="s">
        <v>67</v>
      </c>
      <c r="C149" s="454"/>
      <c r="D149" s="454"/>
      <c r="E149" s="454"/>
      <c r="F149" s="454"/>
      <c r="G149" s="454"/>
      <c r="H149" s="454"/>
      <c r="I149" s="454"/>
      <c r="J149" s="454"/>
      <c r="K149" s="455"/>
      <c r="L149" s="77"/>
      <c r="M149" s="11"/>
      <c r="N149" s="11"/>
      <c r="O149" s="11"/>
      <c r="P149" s="11"/>
      <c r="Q149" s="11"/>
      <c r="R149" s="11"/>
      <c r="S149" s="11"/>
      <c r="T149" s="11"/>
    </row>
    <row r="150" spans="1:22" s="53" customFormat="1">
      <c r="A150" s="48" t="s">
        <v>153</v>
      </c>
      <c r="B150" s="195" t="s">
        <v>234</v>
      </c>
      <c r="C150" s="76" t="s">
        <v>235</v>
      </c>
      <c r="D150" s="50" t="s">
        <v>29</v>
      </c>
      <c r="E150" s="47">
        <f>E134+E135-(E143/1.1)</f>
        <v>351.24599999999987</v>
      </c>
      <c r="F150" s="47"/>
      <c r="G150" s="47"/>
      <c r="H150" s="47"/>
      <c r="I150" s="47"/>
      <c r="J150" s="47"/>
      <c r="K150" s="47"/>
      <c r="L150" s="11"/>
      <c r="M150" s="11"/>
      <c r="N150" s="11"/>
      <c r="O150" s="11"/>
      <c r="P150" s="11"/>
      <c r="Q150" s="11"/>
      <c r="R150" s="11"/>
      <c r="S150" s="11"/>
      <c r="T150" s="11"/>
    </row>
    <row r="151" spans="1:22" s="53" customFormat="1">
      <c r="A151" s="48" t="s">
        <v>154</v>
      </c>
      <c r="B151" s="195" t="s">
        <v>236</v>
      </c>
      <c r="C151" s="76" t="s">
        <v>237</v>
      </c>
      <c r="D151" s="50" t="s">
        <v>29</v>
      </c>
      <c r="E151" s="47">
        <f>E150</f>
        <v>351.24599999999987</v>
      </c>
      <c r="F151" s="47"/>
      <c r="G151" s="47"/>
      <c r="H151" s="47"/>
      <c r="I151" s="47"/>
      <c r="J151" s="47"/>
      <c r="K151" s="47"/>
      <c r="L151" s="11"/>
      <c r="M151" s="11"/>
      <c r="N151" s="11"/>
      <c r="O151" s="11"/>
      <c r="P151" s="11"/>
      <c r="Q151" s="11"/>
      <c r="R151" s="11"/>
      <c r="S151" s="11"/>
      <c r="T151" s="11"/>
    </row>
    <row r="152" spans="1:22" s="53" customFormat="1">
      <c r="A152" s="48" t="s">
        <v>155</v>
      </c>
      <c r="B152" s="166" t="s">
        <v>509</v>
      </c>
      <c r="C152" s="76" t="s">
        <v>510</v>
      </c>
      <c r="D152" s="165" t="s">
        <v>29</v>
      </c>
      <c r="E152" s="117">
        <f>E138*1.15</f>
        <v>11.776</v>
      </c>
      <c r="F152" s="117"/>
      <c r="G152" s="117"/>
      <c r="H152" s="117"/>
      <c r="I152" s="117"/>
      <c r="J152" s="117"/>
      <c r="K152" s="47"/>
      <c r="L152" s="11"/>
      <c r="M152" s="11"/>
      <c r="N152" s="11"/>
      <c r="O152" s="11"/>
      <c r="P152" s="11"/>
      <c r="Q152" s="11"/>
      <c r="R152" s="11"/>
      <c r="S152" s="11"/>
      <c r="T152" s="11"/>
    </row>
    <row r="153" spans="1:22" s="53" customFormat="1">
      <c r="A153" s="479" t="s">
        <v>156</v>
      </c>
      <c r="B153" s="480"/>
      <c r="C153" s="480"/>
      <c r="D153" s="480"/>
      <c r="E153" s="480"/>
      <c r="F153" s="480"/>
      <c r="G153" s="480"/>
      <c r="H153" s="480"/>
      <c r="I153" s="481"/>
      <c r="J153" s="23"/>
      <c r="K153" s="23"/>
      <c r="L153" s="77"/>
      <c r="M153" s="11"/>
      <c r="N153" s="11"/>
      <c r="O153" s="11"/>
      <c r="P153" s="11"/>
      <c r="Q153" s="11"/>
      <c r="R153" s="11"/>
      <c r="S153" s="11"/>
      <c r="T153" s="11"/>
    </row>
    <row r="154" spans="1:22" s="74" customFormat="1">
      <c r="A154" s="70" t="s">
        <v>158</v>
      </c>
      <c r="B154" s="477" t="s">
        <v>120</v>
      </c>
      <c r="C154" s="478"/>
      <c r="D154" s="478"/>
      <c r="E154" s="478"/>
      <c r="F154" s="478"/>
      <c r="G154" s="478"/>
      <c r="H154" s="478"/>
      <c r="I154" s="478"/>
      <c r="J154" s="478"/>
      <c r="K154" s="478"/>
      <c r="L154" s="78"/>
      <c r="M154" s="73"/>
      <c r="N154" s="73"/>
      <c r="O154" s="73"/>
      <c r="P154" s="73"/>
      <c r="Q154" s="73"/>
      <c r="R154" s="73"/>
      <c r="S154" s="73"/>
      <c r="T154" s="73"/>
      <c r="U154" s="73"/>
      <c r="V154" s="73"/>
    </row>
    <row r="155" spans="1:22" s="74" customFormat="1">
      <c r="A155" s="70" t="s">
        <v>157</v>
      </c>
      <c r="B155" s="241" t="s">
        <v>440</v>
      </c>
      <c r="C155" s="122" t="s">
        <v>531</v>
      </c>
      <c r="D155" s="123" t="s">
        <v>29</v>
      </c>
      <c r="E155" s="183">
        <f>150.08-101.84</f>
        <v>48.240000000000009</v>
      </c>
      <c r="F155" s="242"/>
      <c r="G155" s="117"/>
      <c r="H155" s="117"/>
      <c r="I155" s="117"/>
      <c r="J155" s="117"/>
      <c r="K155" s="117"/>
      <c r="L155" s="78"/>
      <c r="M155" s="73"/>
      <c r="N155" s="73"/>
      <c r="O155" s="73"/>
      <c r="P155" s="73"/>
      <c r="Q155" s="73"/>
      <c r="R155" s="73"/>
      <c r="S155" s="73"/>
      <c r="T155" s="73"/>
      <c r="U155" s="73"/>
      <c r="V155" s="73"/>
    </row>
    <row r="156" spans="1:22" s="74" customFormat="1">
      <c r="A156" s="462" t="s">
        <v>161</v>
      </c>
      <c r="B156" s="463"/>
      <c r="C156" s="463"/>
      <c r="D156" s="463"/>
      <c r="E156" s="463"/>
      <c r="F156" s="463"/>
      <c r="G156" s="463"/>
      <c r="H156" s="463"/>
      <c r="I156" s="464"/>
      <c r="J156" s="23"/>
      <c r="K156" s="23"/>
      <c r="L156" s="79"/>
      <c r="M156" s="73"/>
      <c r="N156" s="73"/>
      <c r="O156" s="73"/>
      <c r="P156" s="73"/>
      <c r="Q156" s="73"/>
      <c r="R156" s="73"/>
      <c r="S156" s="73"/>
      <c r="T156" s="73"/>
      <c r="U156" s="73"/>
      <c r="V156" s="73"/>
    </row>
    <row r="157" spans="1:22">
      <c r="A157" s="60" t="s">
        <v>119</v>
      </c>
      <c r="B157" s="458" t="s">
        <v>25</v>
      </c>
      <c r="C157" s="459"/>
      <c r="D157" s="459"/>
      <c r="E157" s="459"/>
      <c r="F157" s="459"/>
      <c r="G157" s="459"/>
      <c r="H157" s="459"/>
      <c r="I157" s="459"/>
      <c r="J157" s="459"/>
      <c r="K157" s="459"/>
      <c r="L157" s="83"/>
    </row>
    <row r="158" spans="1:22" s="53" customFormat="1">
      <c r="A158" s="48" t="s">
        <v>121</v>
      </c>
      <c r="B158" s="197">
        <v>9537</v>
      </c>
      <c r="C158" s="11" t="s">
        <v>239</v>
      </c>
      <c r="D158" s="50" t="s">
        <v>29</v>
      </c>
      <c r="E158" s="47">
        <f>E13</f>
        <v>180.67</v>
      </c>
      <c r="F158" s="47"/>
      <c r="G158" s="47"/>
      <c r="H158" s="47"/>
      <c r="I158" s="47"/>
      <c r="J158" s="47"/>
      <c r="K158" s="47"/>
    </row>
    <row r="159" spans="1:22">
      <c r="A159" s="479" t="s">
        <v>124</v>
      </c>
      <c r="B159" s="480"/>
      <c r="C159" s="480"/>
      <c r="D159" s="480"/>
      <c r="E159" s="480"/>
      <c r="F159" s="480"/>
      <c r="G159" s="480"/>
      <c r="H159" s="480"/>
      <c r="I159" s="481"/>
      <c r="J159" s="23"/>
      <c r="K159" s="39"/>
    </row>
    <row r="160" spans="1:22" s="26" customFormat="1">
      <c r="A160" s="20"/>
      <c r="B160" s="75"/>
      <c r="C160" s="460"/>
      <c r="D160" s="460"/>
      <c r="E160" s="460"/>
      <c r="F160" s="460"/>
      <c r="G160" s="460"/>
      <c r="H160" s="460"/>
      <c r="I160" s="460"/>
      <c r="J160" s="460"/>
      <c r="K160" s="461"/>
    </row>
    <row r="161" spans="1:11" s="69" customFormat="1" ht="15.75">
      <c r="A161" s="445" t="s">
        <v>14</v>
      </c>
      <c r="B161" s="446"/>
      <c r="C161" s="446"/>
      <c r="D161" s="446"/>
      <c r="E161" s="446"/>
      <c r="F161" s="446"/>
      <c r="G161" s="446"/>
      <c r="H161" s="446"/>
      <c r="I161" s="447"/>
      <c r="J161" s="68"/>
      <c r="K161" s="68"/>
    </row>
    <row r="163" spans="1:11">
      <c r="H163" s="43"/>
      <c r="I163" s="12"/>
    </row>
    <row r="164" spans="1:11">
      <c r="I164" s="31"/>
    </row>
    <row r="166" spans="1:11">
      <c r="A166" s="28"/>
      <c r="B166" s="28"/>
      <c r="C166" s="28"/>
      <c r="D166" s="29"/>
      <c r="E166" s="30"/>
      <c r="F166" s="28"/>
      <c r="G166" s="28"/>
      <c r="H166" s="28"/>
      <c r="I166" s="28"/>
      <c r="J166" s="28"/>
    </row>
    <row r="167" spans="1:11">
      <c r="A167" s="28"/>
      <c r="B167" s="28"/>
      <c r="C167" s="28"/>
      <c r="D167" s="29"/>
      <c r="E167" s="30"/>
      <c r="F167" s="28"/>
      <c r="G167" s="30"/>
      <c r="H167" s="28"/>
      <c r="I167" s="30"/>
      <c r="J167" s="30"/>
    </row>
    <row r="168" spans="1:11">
      <c r="A168" s="28"/>
      <c r="B168" s="28"/>
      <c r="C168" s="28"/>
      <c r="D168" s="29"/>
      <c r="E168" s="30"/>
      <c r="F168" s="28"/>
      <c r="G168" s="30"/>
      <c r="H168" s="28"/>
      <c r="I168" s="30"/>
      <c r="J168" s="30"/>
    </row>
    <row r="169" spans="1:11">
      <c r="A169" s="28"/>
      <c r="B169" s="28"/>
      <c r="C169" s="28"/>
      <c r="D169" s="29"/>
      <c r="E169" s="30"/>
      <c r="F169" s="28"/>
      <c r="G169" s="30"/>
      <c r="H169" s="28"/>
      <c r="I169" s="30"/>
      <c r="J169" s="30"/>
    </row>
    <row r="170" spans="1:11">
      <c r="A170" s="28"/>
      <c r="B170" s="28"/>
      <c r="C170" s="28"/>
      <c r="D170" s="29"/>
      <c r="E170" s="30"/>
      <c r="F170" s="28"/>
      <c r="G170" s="30"/>
      <c r="H170" s="28"/>
      <c r="I170" s="30"/>
      <c r="J170" s="30"/>
    </row>
    <row r="171" spans="1:11">
      <c r="A171" s="28"/>
      <c r="B171" s="28"/>
      <c r="C171" s="28"/>
      <c r="D171" s="29"/>
      <c r="E171" s="30"/>
      <c r="F171" s="28"/>
      <c r="G171" s="30"/>
      <c r="H171" s="28"/>
      <c r="I171" s="30"/>
      <c r="J171" s="30"/>
    </row>
    <row r="172" spans="1:11">
      <c r="A172" s="28"/>
      <c r="B172" s="28"/>
      <c r="C172" s="28"/>
      <c r="D172" s="29"/>
      <c r="E172" s="30"/>
      <c r="F172" s="28"/>
      <c r="G172" s="30"/>
      <c r="H172" s="28"/>
      <c r="I172" s="30"/>
      <c r="J172" s="30"/>
    </row>
    <row r="173" spans="1:11">
      <c r="A173" s="28"/>
      <c r="B173" s="28"/>
      <c r="C173" s="28"/>
      <c r="D173" s="29"/>
      <c r="E173" s="30"/>
      <c r="F173" s="28"/>
      <c r="G173" s="30"/>
      <c r="H173" s="28"/>
      <c r="I173" s="30"/>
      <c r="J173" s="30"/>
    </row>
    <row r="174" spans="1:11">
      <c r="A174" s="28"/>
      <c r="B174" s="28"/>
      <c r="C174" s="28"/>
      <c r="D174" s="29"/>
      <c r="E174" s="30"/>
      <c r="F174" s="28"/>
      <c r="G174" s="30"/>
      <c r="H174" s="28"/>
      <c r="I174" s="30"/>
      <c r="J174" s="30"/>
    </row>
    <row r="175" spans="1:11">
      <c r="A175" s="31"/>
      <c r="B175" s="31"/>
      <c r="C175" s="31"/>
      <c r="D175" s="32"/>
      <c r="E175" s="45"/>
      <c r="F175" s="31"/>
      <c r="G175" s="31"/>
      <c r="H175" s="31"/>
      <c r="I175" s="31"/>
      <c r="J175" s="31"/>
    </row>
    <row r="176" spans="1:11">
      <c r="A176" s="28"/>
      <c r="B176" s="28"/>
      <c r="C176" s="28"/>
      <c r="D176" s="29"/>
      <c r="E176" s="30"/>
      <c r="F176" s="28"/>
      <c r="G176" s="30"/>
      <c r="H176" s="28"/>
      <c r="I176" s="30"/>
      <c r="J176" s="30"/>
    </row>
    <row r="177" spans="1:11">
      <c r="A177" s="28"/>
      <c r="B177" s="28"/>
      <c r="C177" s="28"/>
      <c r="D177" s="29"/>
      <c r="E177" s="30"/>
      <c r="F177" s="28"/>
      <c r="G177" s="30"/>
      <c r="H177" s="28"/>
      <c r="I177" s="30"/>
      <c r="J177" s="30"/>
    </row>
    <row r="178" spans="1:11">
      <c r="A178" s="28"/>
      <c r="B178" s="28"/>
      <c r="C178" s="28"/>
      <c r="D178" s="29"/>
      <c r="E178" s="30"/>
      <c r="F178" s="30"/>
      <c r="G178" s="30"/>
      <c r="H178" s="28"/>
      <c r="I178" s="30"/>
      <c r="J178" s="30"/>
    </row>
    <row r="179" spans="1:11">
      <c r="A179" s="28"/>
      <c r="B179" s="28"/>
      <c r="C179" s="28"/>
      <c r="D179" s="29"/>
      <c r="E179" s="30"/>
      <c r="F179" s="30"/>
      <c r="G179" s="30"/>
      <c r="H179" s="28"/>
      <c r="I179" s="30"/>
      <c r="J179" s="30"/>
    </row>
    <row r="180" spans="1:11">
      <c r="A180" s="28"/>
      <c r="B180" s="28"/>
      <c r="C180" s="28"/>
      <c r="D180" s="29"/>
      <c r="E180" s="30"/>
      <c r="F180" s="30"/>
      <c r="G180" s="30"/>
      <c r="H180" s="28"/>
      <c r="I180" s="30"/>
      <c r="J180" s="30"/>
    </row>
    <row r="181" spans="1:11">
      <c r="A181" s="28"/>
      <c r="B181" s="28"/>
      <c r="C181" s="28"/>
      <c r="D181" s="29"/>
      <c r="E181" s="30"/>
      <c r="F181" s="30"/>
      <c r="G181" s="30"/>
      <c r="H181" s="28"/>
      <c r="I181" s="30"/>
      <c r="J181" s="30"/>
    </row>
    <row r="182" spans="1:11">
      <c r="A182" s="28"/>
      <c r="B182" s="28"/>
      <c r="C182" s="28"/>
      <c r="D182" s="29"/>
      <c r="E182" s="30"/>
      <c r="F182" s="30"/>
      <c r="G182" s="30"/>
      <c r="H182" s="28"/>
      <c r="I182" s="30"/>
      <c r="J182" s="30"/>
    </row>
    <row r="183" spans="1:11">
      <c r="A183" s="28"/>
      <c r="B183" s="28"/>
      <c r="C183" s="28"/>
      <c r="D183" s="29"/>
      <c r="E183" s="30"/>
      <c r="F183" s="30"/>
      <c r="G183" s="30"/>
      <c r="H183" s="28"/>
      <c r="I183" s="30"/>
      <c r="J183" s="30"/>
    </row>
    <row r="184" spans="1:11">
      <c r="A184" s="28"/>
      <c r="B184" s="28"/>
      <c r="C184" s="28"/>
      <c r="D184" s="29"/>
      <c r="E184" s="30"/>
      <c r="F184" s="30"/>
      <c r="G184" s="30"/>
      <c r="H184" s="30"/>
      <c r="I184" s="30"/>
      <c r="J184" s="30"/>
    </row>
    <row r="185" spans="1:11">
      <c r="A185" s="28"/>
      <c r="B185" s="28"/>
      <c r="C185" s="28"/>
      <c r="D185" s="29"/>
      <c r="E185" s="30"/>
      <c r="F185" s="28"/>
      <c r="G185" s="30"/>
      <c r="H185" s="28"/>
      <c r="I185" s="30"/>
      <c r="J185" s="30"/>
    </row>
    <row r="186" spans="1:11">
      <c r="A186" s="28"/>
      <c r="B186" s="28"/>
      <c r="C186" s="28"/>
      <c r="D186" s="29"/>
      <c r="E186" s="30"/>
      <c r="F186" s="30"/>
      <c r="G186" s="30"/>
      <c r="H186" s="28"/>
      <c r="I186" s="30"/>
      <c r="J186" s="30"/>
    </row>
    <row r="187" spans="1:11">
      <c r="A187" s="28"/>
      <c r="B187" s="28"/>
      <c r="C187" s="28"/>
      <c r="D187" s="29"/>
      <c r="E187" s="30"/>
      <c r="F187" s="30"/>
      <c r="G187" s="30"/>
      <c r="H187" s="28"/>
      <c r="I187" s="30"/>
      <c r="J187" s="30"/>
    </row>
    <row r="188" spans="1:11">
      <c r="A188" s="28"/>
      <c r="B188" s="28"/>
      <c r="C188" s="28"/>
      <c r="D188" s="29"/>
      <c r="E188" s="30"/>
      <c r="F188" s="28"/>
      <c r="G188" s="30"/>
      <c r="H188" s="28"/>
      <c r="I188" s="30"/>
      <c r="J188" s="30"/>
      <c r="K188" s="26"/>
    </row>
    <row r="189" spans="1:11">
      <c r="A189" s="33"/>
      <c r="B189" s="33"/>
      <c r="C189" s="34"/>
      <c r="D189" s="35"/>
      <c r="E189" s="46"/>
      <c r="F189" s="33"/>
      <c r="G189" s="30"/>
      <c r="H189" s="33"/>
      <c r="I189" s="30"/>
      <c r="J189" s="30"/>
    </row>
    <row r="190" spans="1:11">
      <c r="A190" s="28"/>
      <c r="B190" s="28"/>
      <c r="C190" s="28"/>
      <c r="D190" s="29"/>
      <c r="E190" s="30"/>
      <c r="F190" s="28"/>
      <c r="G190" s="30"/>
      <c r="H190" s="28"/>
      <c r="I190" s="30"/>
      <c r="J190" s="30"/>
    </row>
    <row r="191" spans="1:11">
      <c r="A191" s="28"/>
      <c r="B191" s="28"/>
      <c r="C191" s="28"/>
      <c r="D191" s="29"/>
      <c r="E191" s="30"/>
      <c r="F191" s="28"/>
      <c r="G191" s="30"/>
      <c r="H191" s="28"/>
      <c r="I191" s="30"/>
      <c r="J191" s="30"/>
    </row>
    <row r="192" spans="1:11">
      <c r="A192" s="28"/>
      <c r="B192" s="28"/>
      <c r="C192" s="28"/>
      <c r="D192" s="29"/>
      <c r="E192" s="30"/>
      <c r="F192" s="28"/>
      <c r="G192" s="30"/>
      <c r="H192" s="28"/>
      <c r="I192" s="30"/>
      <c r="J192" s="30"/>
    </row>
    <row r="193" spans="1:11">
      <c r="A193" s="28"/>
      <c r="B193" s="28"/>
      <c r="C193" s="28"/>
      <c r="D193" s="29"/>
      <c r="E193" s="30"/>
      <c r="F193" s="28"/>
      <c r="G193" s="30"/>
      <c r="H193" s="28"/>
      <c r="I193" s="30"/>
      <c r="J193" s="30"/>
    </row>
    <row r="194" spans="1:11">
      <c r="A194" s="28"/>
      <c r="B194" s="28"/>
      <c r="C194" s="28"/>
      <c r="D194" s="29"/>
      <c r="E194" s="30"/>
      <c r="F194" s="30"/>
      <c r="G194" s="30"/>
      <c r="H194" s="30"/>
      <c r="I194" s="30"/>
      <c r="J194" s="30"/>
    </row>
    <row r="195" spans="1:11">
      <c r="A195" s="31"/>
      <c r="B195" s="31"/>
      <c r="C195" s="31"/>
      <c r="D195" s="32"/>
      <c r="E195" s="45"/>
      <c r="F195" s="31"/>
      <c r="G195" s="31"/>
      <c r="H195" s="31"/>
      <c r="I195" s="31"/>
      <c r="J195" s="31"/>
    </row>
    <row r="196" spans="1:11">
      <c r="A196" s="31"/>
      <c r="B196" s="31"/>
      <c r="C196" s="31"/>
    </row>
    <row r="197" spans="1:11">
      <c r="A197" s="28"/>
      <c r="B197" s="28"/>
      <c r="C197" s="29"/>
      <c r="D197" s="28"/>
      <c r="E197" s="30"/>
      <c r="F197" s="28"/>
      <c r="G197" s="28"/>
      <c r="H197" s="28"/>
      <c r="I197" s="28"/>
      <c r="J197" s="28"/>
      <c r="K197" s="12"/>
    </row>
    <row r="198" spans="1:11">
      <c r="A198" s="28"/>
      <c r="B198" s="28"/>
      <c r="C198" s="28"/>
      <c r="D198" s="29"/>
      <c r="E198" s="30"/>
      <c r="F198" s="30"/>
      <c r="G198" s="30"/>
      <c r="H198" s="30"/>
      <c r="I198" s="30"/>
      <c r="J198" s="30"/>
      <c r="K198" s="28"/>
    </row>
    <row r="199" spans="1:11">
      <c r="A199" s="28"/>
      <c r="B199" s="28"/>
      <c r="C199" s="28"/>
      <c r="D199" s="29"/>
      <c r="E199" s="30"/>
      <c r="F199" s="30"/>
      <c r="G199" s="30"/>
      <c r="H199" s="30"/>
      <c r="I199" s="30"/>
      <c r="J199" s="30"/>
      <c r="K199" s="28"/>
    </row>
    <row r="200" spans="1:11">
      <c r="A200" s="28"/>
      <c r="B200" s="28"/>
      <c r="C200" s="28"/>
      <c r="D200" s="29"/>
      <c r="E200" s="30"/>
      <c r="F200" s="30"/>
      <c r="G200" s="30"/>
      <c r="H200" s="30"/>
      <c r="I200" s="30"/>
      <c r="J200" s="30"/>
      <c r="K200" s="28"/>
    </row>
    <row r="201" spans="1:11">
      <c r="A201" s="28"/>
      <c r="B201" s="28"/>
      <c r="C201" s="28"/>
      <c r="D201" s="29"/>
      <c r="E201" s="30"/>
      <c r="F201" s="30"/>
      <c r="G201" s="30"/>
      <c r="H201" s="30"/>
      <c r="I201" s="30"/>
      <c r="J201" s="30"/>
      <c r="K201" s="28"/>
    </row>
    <row r="202" spans="1:11">
      <c r="A202" s="28"/>
      <c r="B202" s="28"/>
      <c r="C202" s="28"/>
      <c r="D202" s="29"/>
      <c r="E202" s="30"/>
      <c r="F202" s="30"/>
      <c r="G202" s="30"/>
      <c r="H202" s="30"/>
      <c r="I202" s="30"/>
      <c r="J202" s="30"/>
      <c r="K202" s="28"/>
    </row>
    <row r="203" spans="1:11">
      <c r="A203" s="28"/>
      <c r="B203" s="28"/>
      <c r="C203" s="28"/>
      <c r="D203" s="29"/>
      <c r="E203" s="30"/>
      <c r="F203" s="30"/>
      <c r="G203" s="30"/>
      <c r="H203" s="30"/>
      <c r="I203" s="30"/>
      <c r="J203" s="30"/>
      <c r="K203" s="28"/>
    </row>
    <row r="204" spans="1:11">
      <c r="A204" s="28"/>
      <c r="B204" s="28"/>
      <c r="C204" s="28"/>
      <c r="D204" s="29"/>
      <c r="E204" s="30"/>
      <c r="F204" s="30"/>
      <c r="G204" s="30"/>
      <c r="H204" s="30"/>
      <c r="I204" s="30"/>
      <c r="J204" s="30"/>
      <c r="K204" s="28"/>
    </row>
    <row r="205" spans="1:11">
      <c r="A205" s="28"/>
      <c r="B205" s="28"/>
      <c r="C205" s="28"/>
      <c r="D205" s="29"/>
      <c r="E205" s="30"/>
      <c r="F205" s="30"/>
      <c r="G205" s="30"/>
      <c r="H205" s="30"/>
      <c r="I205" s="30"/>
      <c r="J205" s="30"/>
      <c r="K205" s="28"/>
    </row>
    <row r="206" spans="1:11">
      <c r="A206" s="28"/>
      <c r="B206" s="28"/>
      <c r="C206" s="28"/>
      <c r="D206" s="29"/>
      <c r="E206" s="30"/>
      <c r="F206" s="30"/>
      <c r="G206" s="30"/>
      <c r="H206" s="30"/>
      <c r="I206" s="30"/>
      <c r="J206" s="30"/>
      <c r="K206" s="28"/>
    </row>
    <row r="207" spans="1:11">
      <c r="A207" s="28"/>
      <c r="B207" s="28"/>
      <c r="C207" s="28"/>
      <c r="D207" s="29"/>
      <c r="E207" s="30"/>
      <c r="F207" s="30"/>
      <c r="G207" s="30"/>
      <c r="H207" s="30"/>
      <c r="I207" s="30"/>
      <c r="J207" s="30"/>
      <c r="K207" s="28"/>
    </row>
    <row r="208" spans="1:11">
      <c r="A208" s="28"/>
      <c r="B208" s="28"/>
      <c r="C208" s="28"/>
      <c r="D208" s="29"/>
      <c r="E208" s="30"/>
      <c r="F208" s="30"/>
      <c r="G208" s="30"/>
      <c r="H208" s="30"/>
      <c r="I208" s="30"/>
      <c r="J208" s="30"/>
      <c r="K208" s="28"/>
    </row>
    <row r="209" spans="1:11">
      <c r="A209" s="28"/>
      <c r="B209" s="28"/>
      <c r="C209" s="28"/>
      <c r="D209" s="29"/>
      <c r="E209" s="30"/>
      <c r="F209" s="30"/>
      <c r="G209" s="30"/>
      <c r="H209" s="30"/>
      <c r="I209" s="30"/>
      <c r="J209" s="30"/>
      <c r="K209" s="28"/>
    </row>
    <row r="210" spans="1:11">
      <c r="A210" s="28"/>
      <c r="B210" s="28"/>
      <c r="C210" s="28"/>
      <c r="D210" s="29"/>
      <c r="E210" s="30"/>
      <c r="F210" s="30"/>
      <c r="G210" s="30"/>
      <c r="H210" s="30"/>
      <c r="I210" s="30"/>
      <c r="J210" s="30"/>
      <c r="K210" s="28"/>
    </row>
    <row r="211" spans="1:11">
      <c r="A211" s="28"/>
      <c r="B211" s="28"/>
      <c r="C211" s="28"/>
      <c r="D211" s="29"/>
      <c r="E211" s="30"/>
      <c r="F211" s="30"/>
      <c r="G211" s="30"/>
      <c r="H211" s="30"/>
      <c r="I211" s="30"/>
      <c r="J211" s="30"/>
      <c r="K211" s="28"/>
    </row>
    <row r="212" spans="1:11">
      <c r="A212" s="28"/>
      <c r="B212" s="28"/>
      <c r="C212" s="28"/>
      <c r="D212" s="29"/>
      <c r="E212" s="30"/>
      <c r="F212" s="30"/>
      <c r="G212" s="30"/>
      <c r="H212" s="30"/>
      <c r="I212" s="30"/>
      <c r="J212" s="30"/>
      <c r="K212" s="28"/>
    </row>
    <row r="213" spans="1:11">
      <c r="A213" s="28"/>
      <c r="B213" s="28"/>
      <c r="C213" s="28"/>
      <c r="D213" s="29"/>
      <c r="E213" s="30"/>
      <c r="F213" s="30"/>
      <c r="G213" s="30"/>
      <c r="H213" s="30"/>
      <c r="I213" s="30"/>
      <c r="J213" s="30"/>
      <c r="K213" s="28"/>
    </row>
    <row r="214" spans="1:11">
      <c r="A214" s="28"/>
      <c r="B214" s="28"/>
      <c r="C214" s="40"/>
      <c r="D214" s="29"/>
      <c r="E214" s="41"/>
      <c r="F214" s="30"/>
      <c r="G214" s="30"/>
      <c r="H214" s="30"/>
      <c r="I214" s="30"/>
      <c r="J214" s="30"/>
      <c r="K214" s="28"/>
    </row>
    <row r="215" spans="1:11">
      <c r="A215" s="28"/>
      <c r="B215" s="28"/>
      <c r="C215" s="40"/>
      <c r="D215" s="29"/>
      <c r="E215" s="41"/>
      <c r="F215" s="30"/>
      <c r="G215" s="30"/>
      <c r="H215" s="30"/>
      <c r="I215" s="30"/>
      <c r="J215" s="30"/>
      <c r="K215" s="28"/>
    </row>
    <row r="216" spans="1:11">
      <c r="A216" s="28"/>
      <c r="B216" s="28"/>
      <c r="C216" s="40"/>
      <c r="D216" s="29"/>
      <c r="E216" s="41"/>
      <c r="F216" s="30"/>
      <c r="G216" s="30"/>
      <c r="H216" s="30"/>
      <c r="I216" s="30"/>
      <c r="J216" s="30"/>
      <c r="K216" s="28"/>
    </row>
    <row r="217" spans="1:11">
      <c r="A217" s="28"/>
      <c r="B217" s="28"/>
      <c r="C217" s="40"/>
      <c r="D217" s="29"/>
      <c r="E217" s="41"/>
      <c r="F217" s="30"/>
      <c r="G217" s="30"/>
      <c r="H217" s="30"/>
      <c r="I217" s="30"/>
      <c r="J217" s="30"/>
      <c r="K217" s="28"/>
    </row>
    <row r="218" spans="1:11">
      <c r="A218" s="28"/>
      <c r="B218" s="28"/>
      <c r="C218" s="28"/>
      <c r="D218" s="29"/>
      <c r="E218" s="30"/>
      <c r="F218" s="30"/>
      <c r="G218" s="30"/>
      <c r="H218" s="30"/>
      <c r="I218" s="30"/>
      <c r="J218" s="30"/>
      <c r="K218" s="28"/>
    </row>
    <row r="219" spans="1:11">
      <c r="A219" s="28"/>
      <c r="B219" s="28"/>
      <c r="C219" s="28"/>
      <c r="D219" s="42"/>
      <c r="E219" s="30"/>
      <c r="F219" s="30"/>
      <c r="G219" s="30"/>
      <c r="H219" s="30"/>
      <c r="I219" s="30"/>
      <c r="J219" s="30"/>
      <c r="K219" s="28"/>
    </row>
    <row r="220" spans="1:11">
      <c r="A220" s="28"/>
      <c r="B220" s="28"/>
      <c r="C220" s="28"/>
      <c r="D220" s="29"/>
      <c r="E220" s="30"/>
      <c r="F220" s="30"/>
      <c r="G220" s="30"/>
      <c r="H220" s="30"/>
      <c r="I220" s="30"/>
      <c r="J220" s="30"/>
      <c r="K220" s="28"/>
    </row>
    <row r="221" spans="1:11">
      <c r="A221" s="28"/>
      <c r="B221" s="28"/>
      <c r="C221" s="28"/>
      <c r="D221" s="29"/>
      <c r="E221" s="30"/>
      <c r="F221" s="30"/>
      <c r="G221" s="30"/>
      <c r="H221" s="30"/>
      <c r="I221" s="30"/>
      <c r="J221" s="30"/>
      <c r="K221" s="28"/>
    </row>
    <row r="222" spans="1:11">
      <c r="A222" s="28"/>
      <c r="B222" s="28"/>
      <c r="C222" s="28"/>
      <c r="D222" s="29"/>
      <c r="E222" s="30"/>
      <c r="F222" s="30"/>
      <c r="G222" s="30"/>
      <c r="H222" s="30"/>
      <c r="I222" s="30"/>
      <c r="J222" s="30"/>
      <c r="K222" s="28"/>
    </row>
    <row r="223" spans="1:11">
      <c r="A223" s="28"/>
      <c r="B223" s="28"/>
      <c r="C223" s="28"/>
      <c r="D223" s="29"/>
      <c r="E223" s="30"/>
      <c r="F223" s="30"/>
      <c r="G223" s="30"/>
      <c r="H223" s="30"/>
      <c r="I223" s="30"/>
      <c r="J223" s="30"/>
      <c r="K223" s="28"/>
    </row>
    <row r="224" spans="1:11">
      <c r="A224" s="28"/>
      <c r="B224" s="28"/>
      <c r="C224" s="28"/>
      <c r="D224" s="29"/>
      <c r="E224" s="30"/>
      <c r="F224" s="30"/>
      <c r="G224" s="30"/>
      <c r="H224" s="30"/>
      <c r="I224" s="30"/>
      <c r="J224" s="30"/>
      <c r="K224" s="28"/>
    </row>
    <row r="225" spans="1:11">
      <c r="A225" s="28"/>
      <c r="B225" s="28"/>
      <c r="C225" s="28"/>
      <c r="D225" s="29"/>
      <c r="E225" s="30"/>
      <c r="F225" s="30"/>
      <c r="G225" s="30"/>
      <c r="H225" s="30"/>
      <c r="I225" s="30"/>
      <c r="J225" s="30"/>
      <c r="K225" s="28"/>
    </row>
    <row r="226" spans="1:11">
      <c r="A226" s="28"/>
      <c r="B226" s="28"/>
      <c r="C226" s="31"/>
      <c r="D226" s="29"/>
      <c r="E226" s="30"/>
      <c r="F226" s="30"/>
      <c r="G226" s="30"/>
      <c r="H226" s="30"/>
      <c r="I226" s="30"/>
      <c r="J226" s="30"/>
      <c r="K226" s="28"/>
    </row>
    <row r="227" spans="1:11">
      <c r="A227" s="28"/>
      <c r="B227" s="28"/>
      <c r="C227" s="28"/>
      <c r="D227" s="29"/>
      <c r="E227" s="30"/>
      <c r="F227" s="30"/>
      <c r="G227" s="30"/>
      <c r="H227" s="30"/>
      <c r="I227" s="30"/>
      <c r="J227" s="30"/>
      <c r="K227" s="28"/>
    </row>
    <row r="228" spans="1:11">
      <c r="A228" s="28"/>
      <c r="B228" s="28"/>
      <c r="C228" s="28"/>
      <c r="D228" s="29"/>
      <c r="E228" s="30"/>
      <c r="F228" s="30"/>
      <c r="G228" s="30"/>
      <c r="H228" s="30"/>
      <c r="I228" s="30"/>
      <c r="J228" s="30"/>
      <c r="K228" s="28"/>
    </row>
    <row r="229" spans="1:11">
      <c r="A229" s="28"/>
      <c r="B229" s="28"/>
      <c r="C229" s="28"/>
      <c r="D229" s="29"/>
      <c r="E229" s="30"/>
      <c r="F229" s="30"/>
      <c r="G229" s="30"/>
      <c r="H229" s="30"/>
      <c r="I229" s="30"/>
      <c r="J229" s="30"/>
      <c r="K229" s="28"/>
    </row>
    <row r="230" spans="1:11">
      <c r="A230" s="28"/>
      <c r="B230" s="28"/>
      <c r="C230" s="28"/>
      <c r="D230" s="29"/>
      <c r="E230" s="30"/>
      <c r="F230" s="30"/>
      <c r="G230" s="30"/>
      <c r="H230" s="30"/>
      <c r="I230" s="30"/>
      <c r="J230" s="30"/>
      <c r="K230" s="28"/>
    </row>
    <row r="231" spans="1:11">
      <c r="A231" s="28"/>
      <c r="B231" s="28"/>
      <c r="C231" s="28"/>
      <c r="D231" s="29"/>
      <c r="E231" s="30"/>
      <c r="F231" s="30"/>
      <c r="G231" s="30"/>
      <c r="H231" s="30"/>
      <c r="I231" s="30"/>
      <c r="J231" s="30"/>
      <c r="K231" s="28"/>
    </row>
    <row r="232" spans="1:11">
      <c r="A232" s="42"/>
      <c r="B232" s="42"/>
      <c r="C232" s="12"/>
      <c r="D232"/>
      <c r="G232" s="27"/>
    </row>
    <row r="233" spans="1:11">
      <c r="A233" s="42"/>
      <c r="B233" s="42"/>
      <c r="C233" s="12"/>
      <c r="D233"/>
    </row>
    <row r="234" spans="1:11">
      <c r="A234" s="1"/>
      <c r="B234" s="1"/>
      <c r="D234"/>
    </row>
  </sheetData>
  <mergeCells count="48">
    <mergeCell ref="A22:I22"/>
    <mergeCell ref="A1:K1"/>
    <mergeCell ref="D5:G5"/>
    <mergeCell ref="D7:G7"/>
    <mergeCell ref="A9:A10"/>
    <mergeCell ref="B9:B10"/>
    <mergeCell ref="C9:C10"/>
    <mergeCell ref="D9:D10"/>
    <mergeCell ref="E9:E10"/>
    <mergeCell ref="F9:G9"/>
    <mergeCell ref="H9:I9"/>
    <mergeCell ref="L9:O9"/>
    <mergeCell ref="P9:T9"/>
    <mergeCell ref="B11:K11"/>
    <mergeCell ref="A14:I14"/>
    <mergeCell ref="B15:K15"/>
    <mergeCell ref="A89:I89"/>
    <mergeCell ref="B23:K23"/>
    <mergeCell ref="A32:I32"/>
    <mergeCell ref="B33:K33"/>
    <mergeCell ref="A55:I55"/>
    <mergeCell ref="B56:K56"/>
    <mergeCell ref="A61:I61"/>
    <mergeCell ref="B62:K62"/>
    <mergeCell ref="A69:I69"/>
    <mergeCell ref="B70:K70"/>
    <mergeCell ref="A76:I76"/>
    <mergeCell ref="B77:K77"/>
    <mergeCell ref="A148:I148"/>
    <mergeCell ref="B90:K90"/>
    <mergeCell ref="A98:I98"/>
    <mergeCell ref="B99:K99"/>
    <mergeCell ref="A124:I124"/>
    <mergeCell ref="B125:K125"/>
    <mergeCell ref="A127:I127"/>
    <mergeCell ref="B128:K128"/>
    <mergeCell ref="A132:I132"/>
    <mergeCell ref="B133:K133"/>
    <mergeCell ref="A144:I144"/>
    <mergeCell ref="B145:K145"/>
    <mergeCell ref="C160:K160"/>
    <mergeCell ref="A161:I161"/>
    <mergeCell ref="B149:K149"/>
    <mergeCell ref="A153:I153"/>
    <mergeCell ref="B154:K154"/>
    <mergeCell ref="A156:I156"/>
    <mergeCell ref="B157:K157"/>
    <mergeCell ref="A159:I159"/>
  </mergeCells>
  <pageMargins left="0.51181102362204722" right="0.51181102362204722" top="0.78740157480314965" bottom="0.78740157480314965" header="0.31496062992125984" footer="0.31496062992125984"/>
  <pageSetup paperSize="9" scale="71" fitToHeight="10" orientation="landscape" r:id="rId1"/>
  <headerFooter>
    <oddFooter>&amp;LMATERNIDADE&amp;CPágina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2"/>
  <sheetViews>
    <sheetView zoomScale="90" zoomScaleNormal="90" workbookViewId="0">
      <pane ySplit="10" topLeftCell="A11" activePane="bottomLeft" state="frozen"/>
      <selection pane="bottomLeft" activeCell="A11" sqref="A11:XFD11"/>
    </sheetView>
  </sheetViews>
  <sheetFormatPr defaultRowHeight="15"/>
  <cols>
    <col min="1" max="1" width="5.7109375" style="2" customWidth="1"/>
    <col min="2" max="2" width="11.28515625" style="2" customWidth="1"/>
    <col min="3" max="3" width="63.7109375" customWidth="1"/>
    <col min="4" max="4" width="9.140625" style="1"/>
    <col min="5" max="5" width="10.7109375" style="27" customWidth="1"/>
    <col min="6" max="9" width="15.7109375" customWidth="1"/>
    <col min="10" max="11" width="13.140625" customWidth="1"/>
    <col min="12" max="12" width="9.42578125" bestFit="1" customWidth="1"/>
    <col min="14" max="14" width="12.5703125" customWidth="1"/>
    <col min="19" max="19" width="12.85546875" customWidth="1"/>
  </cols>
  <sheetData>
    <row r="1" spans="1:20" s="12" customFormat="1" ht="18.75">
      <c r="A1" s="490" t="s">
        <v>30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20">
      <c r="D2" s="3"/>
      <c r="E2" s="44"/>
      <c r="F2" s="1"/>
      <c r="G2" s="1"/>
      <c r="H2" s="1"/>
    </row>
    <row r="3" spans="1:20" ht="18.75">
      <c r="D3" s="51" t="s">
        <v>731</v>
      </c>
      <c r="E3" s="52"/>
      <c r="F3" s="52"/>
      <c r="G3" s="52"/>
      <c r="H3" s="6"/>
      <c r="J3" s="19"/>
      <c r="K3" s="17"/>
    </row>
    <row r="4" spans="1:20">
      <c r="D4" s="66" t="s">
        <v>511</v>
      </c>
      <c r="E4" s="67"/>
      <c r="F4" s="65"/>
      <c r="G4" s="65"/>
      <c r="H4" s="7"/>
      <c r="J4" s="18"/>
      <c r="K4" s="17"/>
    </row>
    <row r="5" spans="1:20">
      <c r="D5" s="491" t="s">
        <v>732</v>
      </c>
      <c r="E5" s="491"/>
      <c r="F5" s="491"/>
      <c r="G5" s="491"/>
      <c r="H5" s="7"/>
      <c r="J5" s="18"/>
      <c r="K5" s="17"/>
    </row>
    <row r="6" spans="1:20">
      <c r="D6" s="55" t="s">
        <v>729</v>
      </c>
      <c r="E6" s="55"/>
      <c r="F6" s="55"/>
      <c r="G6" s="55"/>
      <c r="H6" s="7"/>
      <c r="J6" s="18"/>
      <c r="K6" s="17"/>
    </row>
    <row r="7" spans="1:20">
      <c r="D7" s="491" t="s">
        <v>661</v>
      </c>
      <c r="E7" s="491"/>
      <c r="F7" s="491"/>
      <c r="G7" s="491"/>
      <c r="H7" s="7"/>
      <c r="J7" s="18"/>
      <c r="K7" s="17"/>
    </row>
    <row r="8" spans="1:20">
      <c r="J8" s="17"/>
      <c r="K8" s="17"/>
    </row>
    <row r="9" spans="1:20" s="12" customFormat="1">
      <c r="A9" s="471" t="s">
        <v>0</v>
      </c>
      <c r="B9" s="471" t="s">
        <v>125</v>
      </c>
      <c r="C9" s="471" t="s">
        <v>1</v>
      </c>
      <c r="D9" s="471" t="s">
        <v>2</v>
      </c>
      <c r="E9" s="500" t="s">
        <v>3</v>
      </c>
      <c r="F9" s="504" t="s">
        <v>22</v>
      </c>
      <c r="G9" s="505"/>
      <c r="H9" s="502" t="s">
        <v>23</v>
      </c>
      <c r="I9" s="503"/>
      <c r="J9" s="9" t="s">
        <v>19</v>
      </c>
      <c r="K9" s="16" t="s">
        <v>668</v>
      </c>
      <c r="L9" s="499"/>
      <c r="M9" s="499"/>
      <c r="N9" s="499"/>
      <c r="O9" s="499"/>
      <c r="P9" s="498"/>
      <c r="Q9" s="498"/>
      <c r="R9" s="498"/>
      <c r="S9" s="498"/>
      <c r="T9" s="498"/>
    </row>
    <row r="10" spans="1:20">
      <c r="A10" s="472"/>
      <c r="B10" s="472"/>
      <c r="C10" s="472"/>
      <c r="D10" s="472"/>
      <c r="E10" s="501"/>
      <c r="F10" s="85" t="s">
        <v>20</v>
      </c>
      <c r="G10" s="10" t="s">
        <v>21</v>
      </c>
      <c r="H10" s="10" t="s">
        <v>20</v>
      </c>
      <c r="I10" s="10" t="s">
        <v>21</v>
      </c>
      <c r="J10" s="10" t="s">
        <v>667</v>
      </c>
      <c r="K10" s="37">
        <f>E4</f>
        <v>0</v>
      </c>
      <c r="L10" s="14"/>
      <c r="M10" s="15"/>
      <c r="N10" s="15"/>
      <c r="O10" s="15"/>
      <c r="P10" s="14"/>
      <c r="Q10" s="14"/>
      <c r="R10" s="15"/>
      <c r="S10" s="15"/>
      <c r="T10" s="14"/>
    </row>
    <row r="11" spans="1:20">
      <c r="A11" s="60" t="s">
        <v>4</v>
      </c>
      <c r="B11" s="458" t="s">
        <v>24</v>
      </c>
      <c r="C11" s="459"/>
      <c r="D11" s="459"/>
      <c r="E11" s="459"/>
      <c r="F11" s="459"/>
      <c r="G11" s="459"/>
      <c r="H11" s="459"/>
      <c r="I11" s="459"/>
      <c r="J11" s="459"/>
      <c r="K11" s="473"/>
      <c r="L11" s="11"/>
      <c r="M11" s="11"/>
      <c r="N11" s="11"/>
      <c r="O11" s="11"/>
      <c r="P11" s="11"/>
      <c r="Q11" s="11"/>
      <c r="R11" s="11"/>
      <c r="S11" s="11"/>
      <c r="T11" s="11"/>
    </row>
    <row r="12" spans="1:20" s="53" customFormat="1">
      <c r="A12" s="48" t="s">
        <v>8</v>
      </c>
      <c r="B12" s="84">
        <v>73672</v>
      </c>
      <c r="C12" s="49" t="s">
        <v>163</v>
      </c>
      <c r="D12" s="50" t="s">
        <v>29</v>
      </c>
      <c r="E12" s="47">
        <v>156.41999999999999</v>
      </c>
      <c r="F12" s="47"/>
      <c r="G12" s="47"/>
      <c r="H12" s="47"/>
      <c r="I12" s="47"/>
      <c r="J12" s="47"/>
      <c r="K12" s="47"/>
      <c r="L12" s="11"/>
      <c r="M12" s="11"/>
      <c r="N12" s="11"/>
      <c r="O12" s="11"/>
      <c r="P12" s="11"/>
      <c r="Q12" s="11"/>
      <c r="R12" s="11"/>
      <c r="S12" s="11"/>
      <c r="T12" s="11"/>
    </row>
    <row r="13" spans="1:20" s="53" customFormat="1" ht="24.75">
      <c r="A13" s="48" t="s">
        <v>9</v>
      </c>
      <c r="B13" s="195" t="s">
        <v>176</v>
      </c>
      <c r="C13" s="58" t="s">
        <v>177</v>
      </c>
      <c r="D13" s="50" t="s">
        <v>29</v>
      </c>
      <c r="E13" s="47">
        <v>113.29</v>
      </c>
      <c r="F13" s="47"/>
      <c r="G13" s="47"/>
      <c r="H13" s="47"/>
      <c r="I13" s="47"/>
      <c r="J13" s="47"/>
      <c r="K13" s="47"/>
      <c r="L13" s="11"/>
      <c r="M13" s="11"/>
      <c r="N13" s="11"/>
      <c r="O13" s="11"/>
      <c r="P13" s="11"/>
      <c r="Q13" s="11"/>
      <c r="R13" s="11"/>
      <c r="S13" s="11"/>
      <c r="T13" s="11"/>
    </row>
    <row r="14" spans="1:20">
      <c r="A14" s="494" t="s">
        <v>15</v>
      </c>
      <c r="B14" s="494"/>
      <c r="C14" s="495"/>
      <c r="D14" s="495"/>
      <c r="E14" s="495"/>
      <c r="F14" s="495"/>
      <c r="G14" s="495"/>
      <c r="H14" s="495"/>
      <c r="I14" s="495"/>
      <c r="J14" s="22"/>
      <c r="K14" s="38"/>
      <c r="L14" s="11"/>
      <c r="M14" s="11"/>
      <c r="N14" s="11"/>
      <c r="O14" s="11"/>
      <c r="P14" s="11"/>
      <c r="Q14" s="11"/>
      <c r="R14" s="11"/>
      <c r="S14" s="11"/>
      <c r="T14" s="11"/>
    </row>
    <row r="15" spans="1:20">
      <c r="A15" s="60" t="s">
        <v>5</v>
      </c>
      <c r="B15" s="458" t="s">
        <v>103</v>
      </c>
      <c r="C15" s="459"/>
      <c r="D15" s="459"/>
      <c r="E15" s="459"/>
      <c r="F15" s="459"/>
      <c r="G15" s="459"/>
      <c r="H15" s="459"/>
      <c r="I15" s="459"/>
      <c r="J15" s="459"/>
      <c r="K15" s="473"/>
      <c r="L15" s="11"/>
      <c r="M15" s="11"/>
      <c r="N15" s="11"/>
      <c r="O15" s="11"/>
      <c r="P15" s="11"/>
      <c r="Q15" s="11"/>
      <c r="R15" s="11"/>
      <c r="S15" s="11"/>
      <c r="T15" s="11"/>
    </row>
    <row r="16" spans="1:20" s="91" customFormat="1">
      <c r="A16" s="137" t="s">
        <v>10</v>
      </c>
      <c r="B16" s="212" t="s">
        <v>178</v>
      </c>
      <c r="C16" s="247" t="s">
        <v>179</v>
      </c>
      <c r="D16" s="213" t="s">
        <v>47</v>
      </c>
      <c r="E16" s="54">
        <f>E12*1.5</f>
        <v>234.63</v>
      </c>
      <c r="F16" s="54"/>
      <c r="G16" s="54"/>
      <c r="H16" s="54"/>
      <c r="I16" s="54"/>
      <c r="J16" s="54"/>
      <c r="K16" s="54"/>
      <c r="L16" s="90"/>
      <c r="M16" s="90"/>
      <c r="N16" s="90"/>
      <c r="O16" s="90"/>
      <c r="P16" s="90"/>
      <c r="Q16" s="90"/>
      <c r="R16" s="90"/>
      <c r="S16" s="90"/>
      <c r="T16" s="90"/>
    </row>
    <row r="17" spans="1:20" s="91" customFormat="1">
      <c r="A17" s="137" t="s">
        <v>11</v>
      </c>
      <c r="B17" s="169" t="s">
        <v>493</v>
      </c>
      <c r="C17" s="232" t="s">
        <v>494</v>
      </c>
      <c r="D17" s="165" t="s">
        <v>29</v>
      </c>
      <c r="E17" s="117">
        <f>E12/3</f>
        <v>52.139999999999993</v>
      </c>
      <c r="F17" s="117"/>
      <c r="G17" s="117"/>
      <c r="H17" s="117"/>
      <c r="I17" s="117"/>
      <c r="J17" s="117"/>
      <c r="K17" s="54"/>
      <c r="L17" s="90"/>
      <c r="M17" s="90"/>
      <c r="N17" s="90"/>
      <c r="O17" s="90"/>
      <c r="P17" s="90"/>
      <c r="Q17" s="90"/>
      <c r="R17" s="90"/>
      <c r="S17" s="90"/>
      <c r="T17" s="90"/>
    </row>
    <row r="18" spans="1:20" s="91" customFormat="1">
      <c r="A18" s="137" t="s">
        <v>442</v>
      </c>
      <c r="B18" s="170" t="s">
        <v>826</v>
      </c>
      <c r="C18" s="232" t="s">
        <v>827</v>
      </c>
      <c r="D18" s="165" t="s">
        <v>47</v>
      </c>
      <c r="E18" s="117">
        <v>35.24</v>
      </c>
      <c r="F18" s="117"/>
      <c r="G18" s="117"/>
      <c r="H18" s="117"/>
      <c r="I18" s="117"/>
      <c r="J18" s="117"/>
      <c r="K18" s="54"/>
      <c r="L18" s="90"/>
      <c r="M18" s="90"/>
      <c r="N18" s="90"/>
      <c r="O18" s="90"/>
      <c r="P18" s="90"/>
      <c r="Q18" s="90"/>
      <c r="R18" s="90"/>
      <c r="S18" s="90"/>
      <c r="T18" s="90"/>
    </row>
    <row r="19" spans="1:20" s="91" customFormat="1">
      <c r="A19" s="137" t="s">
        <v>443</v>
      </c>
      <c r="B19" s="170" t="s">
        <v>828</v>
      </c>
      <c r="C19" s="232" t="s">
        <v>829</v>
      </c>
      <c r="D19" s="173" t="s">
        <v>29</v>
      </c>
      <c r="E19" s="117">
        <v>98.24</v>
      </c>
      <c r="F19" s="117"/>
      <c r="G19" s="117"/>
      <c r="H19" s="117"/>
      <c r="I19" s="117"/>
      <c r="J19" s="117"/>
      <c r="K19" s="54"/>
      <c r="L19" s="90"/>
      <c r="M19" s="90"/>
      <c r="N19" s="90"/>
      <c r="O19" s="90"/>
      <c r="P19" s="90"/>
      <c r="Q19" s="90"/>
      <c r="R19" s="90"/>
      <c r="S19" s="90"/>
      <c r="T19" s="90"/>
    </row>
    <row r="20" spans="1:20" s="91" customFormat="1" ht="24.75">
      <c r="A20" s="137" t="s">
        <v>444</v>
      </c>
      <c r="B20" s="170">
        <v>72915</v>
      </c>
      <c r="C20" s="232" t="s">
        <v>492</v>
      </c>
      <c r="D20" s="165" t="s">
        <v>47</v>
      </c>
      <c r="E20" s="117">
        <v>25.08</v>
      </c>
      <c r="F20" s="117"/>
      <c r="G20" s="117"/>
      <c r="H20" s="117"/>
      <c r="I20" s="117"/>
      <c r="J20" s="117"/>
      <c r="K20" s="54"/>
      <c r="L20" s="90"/>
      <c r="M20" s="90"/>
      <c r="N20" s="90"/>
      <c r="O20" s="90"/>
      <c r="P20" s="90"/>
      <c r="Q20" s="90"/>
      <c r="R20" s="90"/>
      <c r="S20" s="90"/>
      <c r="T20" s="90"/>
    </row>
    <row r="21" spans="1:20" s="155" customFormat="1" ht="14.25">
      <c r="A21" s="137" t="s">
        <v>445</v>
      </c>
      <c r="B21" s="170">
        <v>6430</v>
      </c>
      <c r="C21" s="232" t="s">
        <v>341</v>
      </c>
      <c r="D21" s="165" t="s">
        <v>47</v>
      </c>
      <c r="E21" s="117">
        <v>22.22</v>
      </c>
      <c r="F21" s="117"/>
      <c r="G21" s="117"/>
      <c r="H21" s="117"/>
      <c r="I21" s="117"/>
      <c r="J21" s="117"/>
      <c r="K21" s="54"/>
      <c r="L21" s="114"/>
      <c r="M21" s="114"/>
      <c r="N21" s="114"/>
      <c r="O21" s="114"/>
      <c r="P21" s="114"/>
      <c r="Q21" s="114"/>
      <c r="R21" s="114"/>
      <c r="S21" s="114"/>
      <c r="T21" s="114"/>
    </row>
    <row r="22" spans="1:20">
      <c r="A22" s="562" t="s">
        <v>16</v>
      </c>
      <c r="B22" s="562"/>
      <c r="C22" s="563"/>
      <c r="D22" s="563"/>
      <c r="E22" s="563"/>
      <c r="F22" s="563"/>
      <c r="G22" s="563"/>
      <c r="H22" s="563"/>
      <c r="I22" s="563"/>
      <c r="J22" s="22"/>
      <c r="K22" s="39"/>
      <c r="L22" s="11"/>
      <c r="M22" s="11"/>
      <c r="N22" s="11"/>
      <c r="O22" s="11"/>
      <c r="P22" s="11"/>
      <c r="Q22" s="11"/>
      <c r="R22" s="11"/>
      <c r="S22" s="11"/>
      <c r="T22" s="11"/>
    </row>
    <row r="23" spans="1:20">
      <c r="A23" s="60" t="s">
        <v>105</v>
      </c>
      <c r="B23" s="458" t="s">
        <v>106</v>
      </c>
      <c r="C23" s="459"/>
      <c r="D23" s="459"/>
      <c r="E23" s="459"/>
      <c r="F23" s="459"/>
      <c r="G23" s="459"/>
      <c r="H23" s="459"/>
      <c r="I23" s="459"/>
      <c r="J23" s="459"/>
      <c r="K23" s="473"/>
      <c r="L23" s="11"/>
      <c r="M23" s="11"/>
      <c r="N23" s="11"/>
      <c r="O23" s="11"/>
      <c r="P23" s="11"/>
      <c r="Q23" s="11"/>
      <c r="R23" s="11"/>
      <c r="S23" s="11"/>
      <c r="T23" s="11"/>
    </row>
    <row r="24" spans="1:20" s="53" customFormat="1">
      <c r="A24" s="48" t="s">
        <v>12</v>
      </c>
      <c r="B24" s="48"/>
      <c r="C24" s="234" t="s">
        <v>287</v>
      </c>
      <c r="D24" s="173" t="s">
        <v>29</v>
      </c>
      <c r="E24" s="172">
        <v>90.1</v>
      </c>
      <c r="F24" s="172"/>
      <c r="G24" s="172"/>
      <c r="H24" s="172"/>
      <c r="I24" s="172"/>
      <c r="J24" s="172"/>
      <c r="K24" s="172"/>
      <c r="L24" s="11"/>
      <c r="M24" s="11"/>
      <c r="N24" s="11"/>
      <c r="O24" s="11"/>
      <c r="P24" s="11"/>
      <c r="Q24" s="11"/>
      <c r="R24" s="11"/>
      <c r="S24" s="11"/>
      <c r="T24" s="11"/>
    </row>
    <row r="25" spans="1:20" s="53" customFormat="1">
      <c r="A25" s="48" t="s">
        <v>13</v>
      </c>
      <c r="B25" s="125" t="s">
        <v>904</v>
      </c>
      <c r="C25" s="234" t="s">
        <v>871</v>
      </c>
      <c r="D25" s="173" t="s">
        <v>47</v>
      </c>
      <c r="E25" s="172">
        <v>5.3</v>
      </c>
      <c r="F25" s="172"/>
      <c r="G25" s="172"/>
      <c r="H25" s="172"/>
      <c r="I25" s="172"/>
      <c r="J25" s="172"/>
      <c r="K25" s="172"/>
      <c r="L25" s="11"/>
      <c r="M25" s="11"/>
      <c r="N25" s="11"/>
      <c r="O25" s="11"/>
      <c r="P25" s="11"/>
      <c r="Q25" s="11"/>
      <c r="R25" s="11"/>
      <c r="S25" s="11"/>
      <c r="T25" s="11"/>
    </row>
    <row r="26" spans="1:20" s="53" customFormat="1">
      <c r="A26" s="48" t="s">
        <v>285</v>
      </c>
      <c r="B26" s="125" t="s">
        <v>905</v>
      </c>
      <c r="C26" s="234" t="s">
        <v>872</v>
      </c>
      <c r="D26" s="173" t="s">
        <v>47</v>
      </c>
      <c r="E26" s="172">
        <v>5.3</v>
      </c>
      <c r="F26" s="172"/>
      <c r="G26" s="172"/>
      <c r="H26" s="172"/>
      <c r="I26" s="172"/>
      <c r="J26" s="172"/>
      <c r="K26" s="172"/>
      <c r="L26" s="11"/>
      <c r="M26" s="11"/>
      <c r="N26" s="11"/>
      <c r="O26" s="11"/>
      <c r="P26" s="11"/>
      <c r="Q26" s="11"/>
      <c r="R26" s="11"/>
      <c r="S26" s="11"/>
      <c r="T26" s="11"/>
    </row>
    <row r="27" spans="1:20" s="53" customFormat="1">
      <c r="A27" s="48" t="s">
        <v>286</v>
      </c>
      <c r="B27" s="125"/>
      <c r="C27" s="234" t="s">
        <v>873</v>
      </c>
      <c r="D27" s="173" t="s">
        <v>47</v>
      </c>
      <c r="E27" s="172">
        <v>1.1399999999999999</v>
      </c>
      <c r="F27" s="172"/>
      <c r="G27" s="172"/>
      <c r="H27" s="172"/>
      <c r="I27" s="172"/>
      <c r="J27" s="172"/>
      <c r="K27" s="172"/>
      <c r="L27" s="11"/>
      <c r="M27" s="11"/>
      <c r="N27" s="11"/>
      <c r="O27" s="11"/>
      <c r="P27" s="11"/>
      <c r="Q27" s="11"/>
      <c r="R27" s="11"/>
      <c r="S27" s="11"/>
      <c r="T27" s="11"/>
    </row>
    <row r="28" spans="1:20" s="53" customFormat="1">
      <c r="A28" s="48" t="s">
        <v>288</v>
      </c>
      <c r="B28" s="125"/>
      <c r="C28" s="234" t="s">
        <v>874</v>
      </c>
      <c r="D28" s="173" t="s">
        <v>47</v>
      </c>
      <c r="E28" s="172">
        <v>6.88</v>
      </c>
      <c r="F28" s="172"/>
      <c r="G28" s="172"/>
      <c r="H28" s="172"/>
      <c r="I28" s="172"/>
      <c r="J28" s="172"/>
      <c r="K28" s="172"/>
      <c r="L28" s="11"/>
      <c r="M28" s="11"/>
      <c r="N28" s="11"/>
      <c r="O28" s="11"/>
      <c r="P28" s="11"/>
      <c r="Q28" s="11"/>
      <c r="R28" s="11"/>
      <c r="S28" s="11"/>
      <c r="T28" s="11"/>
    </row>
    <row r="29" spans="1:20" s="53" customFormat="1">
      <c r="A29" s="48" t="s">
        <v>450</v>
      </c>
      <c r="B29" s="125" t="s">
        <v>905</v>
      </c>
      <c r="C29" s="234" t="s">
        <v>875</v>
      </c>
      <c r="D29" s="173" t="s">
        <v>47</v>
      </c>
      <c r="E29" s="172">
        <v>6.88</v>
      </c>
      <c r="F29" s="172"/>
      <c r="G29" s="172"/>
      <c r="H29" s="172"/>
      <c r="I29" s="172"/>
      <c r="J29" s="172"/>
      <c r="K29" s="172"/>
      <c r="L29" s="11"/>
      <c r="M29" s="11"/>
      <c r="N29" s="11"/>
      <c r="O29" s="11"/>
      <c r="P29" s="11"/>
      <c r="Q29" s="11"/>
      <c r="R29" s="11"/>
      <c r="S29" s="11"/>
      <c r="T29" s="11"/>
    </row>
    <row r="30" spans="1:20" s="53" customFormat="1">
      <c r="A30" s="48" t="s">
        <v>451</v>
      </c>
      <c r="B30" s="125"/>
      <c r="C30" s="234" t="s">
        <v>876</v>
      </c>
      <c r="D30" s="173" t="s">
        <v>29</v>
      </c>
      <c r="E30" s="172">
        <v>16.399999999999999</v>
      </c>
      <c r="F30" s="172"/>
      <c r="G30" s="172"/>
      <c r="H30" s="172"/>
      <c r="I30" s="172"/>
      <c r="J30" s="172"/>
      <c r="K30" s="172"/>
      <c r="L30" s="11"/>
      <c r="M30" s="11"/>
      <c r="N30" s="11"/>
      <c r="O30" s="11"/>
      <c r="P30" s="11"/>
      <c r="Q30" s="11"/>
      <c r="R30" s="11"/>
      <c r="S30" s="11"/>
      <c r="T30" s="11"/>
    </row>
    <row r="31" spans="1:20" s="53" customFormat="1" ht="24">
      <c r="A31" s="48" t="s">
        <v>452</v>
      </c>
      <c r="B31" s="415" t="s">
        <v>907</v>
      </c>
      <c r="C31" s="416" t="s">
        <v>877</v>
      </c>
      <c r="D31" s="173" t="s">
        <v>890</v>
      </c>
      <c r="E31" s="172">
        <v>173.7</v>
      </c>
      <c r="F31" s="172"/>
      <c r="G31" s="172"/>
      <c r="H31" s="172"/>
      <c r="I31" s="172"/>
      <c r="J31" s="172"/>
      <c r="K31" s="172"/>
      <c r="L31" s="11"/>
      <c r="M31" s="11"/>
      <c r="N31" s="11"/>
      <c r="O31" s="11"/>
      <c r="P31" s="11"/>
      <c r="Q31" s="11"/>
      <c r="R31" s="11"/>
      <c r="S31" s="11"/>
      <c r="T31" s="11"/>
    </row>
    <row r="32" spans="1:20">
      <c r="A32" s="479" t="s">
        <v>17</v>
      </c>
      <c r="B32" s="480"/>
      <c r="C32" s="480"/>
      <c r="D32" s="480"/>
      <c r="E32" s="480"/>
      <c r="F32" s="480"/>
      <c r="G32" s="480"/>
      <c r="H32" s="480"/>
      <c r="I32" s="481"/>
      <c r="J32" s="22"/>
      <c r="K32" s="22"/>
      <c r="L32" s="77"/>
      <c r="M32" s="11"/>
      <c r="N32" s="11"/>
      <c r="O32" s="11"/>
      <c r="P32" s="11"/>
      <c r="Q32" s="11"/>
      <c r="R32" s="11"/>
      <c r="S32" s="11"/>
      <c r="T32" s="11"/>
    </row>
    <row r="33" spans="1:22" s="427" customFormat="1">
      <c r="A33" s="426" t="s">
        <v>33</v>
      </c>
      <c r="B33" s="568" t="s">
        <v>107</v>
      </c>
      <c r="C33" s="569"/>
      <c r="D33" s="569"/>
      <c r="E33" s="569"/>
      <c r="F33" s="569"/>
      <c r="G33" s="569"/>
      <c r="H33" s="569"/>
      <c r="I33" s="569"/>
      <c r="J33" s="569"/>
      <c r="K33" s="569"/>
      <c r="L33" s="411"/>
      <c r="M33" s="398"/>
      <c r="N33" s="398"/>
      <c r="O33" s="398"/>
      <c r="P33" s="398"/>
      <c r="Q33" s="398"/>
      <c r="R33" s="398"/>
      <c r="S33" s="398"/>
      <c r="T33" s="398"/>
      <c r="U33" s="398"/>
      <c r="V33" s="398"/>
    </row>
    <row r="34" spans="1:22" s="419" customFormat="1">
      <c r="A34" s="414" t="s">
        <v>34</v>
      </c>
      <c r="B34" s="333"/>
      <c r="C34" s="333" t="s">
        <v>844</v>
      </c>
      <c r="D34" s="334" t="s">
        <v>47</v>
      </c>
      <c r="E34" s="417">
        <v>1.37</v>
      </c>
      <c r="F34" s="408"/>
      <c r="G34" s="408"/>
      <c r="H34" s="408"/>
      <c r="I34" s="408"/>
      <c r="J34" s="408"/>
      <c r="K34" s="417"/>
      <c r="L34" s="411"/>
      <c r="M34" s="398"/>
      <c r="N34" s="398"/>
      <c r="O34" s="398"/>
      <c r="P34" s="398"/>
      <c r="Q34" s="398"/>
      <c r="R34" s="398"/>
      <c r="S34" s="398"/>
      <c r="T34" s="398"/>
      <c r="U34" s="398"/>
      <c r="V34" s="398"/>
    </row>
    <row r="35" spans="1:22" s="419" customFormat="1" ht="24.75">
      <c r="A35" s="414" t="s">
        <v>108</v>
      </c>
      <c r="B35" s="414"/>
      <c r="C35" s="418" t="s">
        <v>878</v>
      </c>
      <c r="D35" s="334" t="s">
        <v>29</v>
      </c>
      <c r="E35" s="417">
        <v>58.4</v>
      </c>
      <c r="F35" s="408"/>
      <c r="G35" s="408"/>
      <c r="H35" s="408"/>
      <c r="I35" s="408"/>
      <c r="J35" s="409"/>
      <c r="K35" s="410"/>
      <c r="L35" s="411"/>
      <c r="M35" s="398"/>
      <c r="N35" s="398"/>
      <c r="O35" s="398"/>
      <c r="P35" s="398"/>
      <c r="Q35" s="398"/>
      <c r="R35" s="398"/>
      <c r="S35" s="398"/>
      <c r="T35" s="398"/>
      <c r="U35" s="398"/>
      <c r="V35" s="398"/>
    </row>
    <row r="36" spans="1:22" s="419" customFormat="1" ht="24.75">
      <c r="A36" s="414" t="s">
        <v>35</v>
      </c>
      <c r="B36" s="414"/>
      <c r="C36" s="418" t="s">
        <v>879</v>
      </c>
      <c r="D36" s="334" t="s">
        <v>29</v>
      </c>
      <c r="E36" s="417">
        <v>135.1</v>
      </c>
      <c r="F36" s="408"/>
      <c r="G36" s="408"/>
      <c r="H36" s="408"/>
      <c r="I36" s="408"/>
      <c r="J36" s="409"/>
      <c r="K36" s="410"/>
      <c r="L36" s="411"/>
      <c r="M36" s="398"/>
      <c r="N36" s="398"/>
      <c r="O36" s="398"/>
      <c r="P36" s="398"/>
      <c r="Q36" s="398"/>
      <c r="R36" s="398"/>
      <c r="S36" s="398"/>
      <c r="T36" s="398"/>
      <c r="U36" s="398"/>
      <c r="V36" s="398"/>
    </row>
    <row r="37" spans="1:22" s="419" customFormat="1">
      <c r="A37" s="414" t="s">
        <v>36</v>
      </c>
      <c r="B37" s="86" t="s">
        <v>904</v>
      </c>
      <c r="C37" s="333" t="s">
        <v>880</v>
      </c>
      <c r="D37" s="334" t="s">
        <v>47</v>
      </c>
      <c r="E37" s="417">
        <v>8.3000000000000007</v>
      </c>
      <c r="F37" s="408"/>
      <c r="G37" s="408"/>
      <c r="H37" s="408"/>
      <c r="I37" s="408"/>
      <c r="J37" s="409"/>
      <c r="K37" s="410"/>
      <c r="L37" s="411"/>
      <c r="M37" s="398"/>
      <c r="N37" s="398"/>
      <c r="O37" s="398"/>
      <c r="P37" s="398"/>
      <c r="Q37" s="398"/>
      <c r="R37" s="398"/>
      <c r="S37" s="398"/>
      <c r="T37" s="398"/>
      <c r="U37" s="398"/>
      <c r="V37" s="398"/>
    </row>
    <row r="38" spans="1:22" s="419" customFormat="1">
      <c r="A38" s="414" t="s">
        <v>37</v>
      </c>
      <c r="B38" s="414" t="s">
        <v>906</v>
      </c>
      <c r="C38" s="333" t="s">
        <v>881</v>
      </c>
      <c r="D38" s="334" t="s">
        <v>47</v>
      </c>
      <c r="E38" s="417">
        <v>8.3000000000000007</v>
      </c>
      <c r="F38" s="408"/>
      <c r="G38" s="408"/>
      <c r="H38" s="408"/>
      <c r="I38" s="408"/>
      <c r="J38" s="409"/>
      <c r="K38" s="410"/>
      <c r="L38" s="411"/>
      <c r="M38" s="398"/>
      <c r="N38" s="398"/>
      <c r="O38" s="398"/>
      <c r="P38" s="398"/>
      <c r="Q38" s="398"/>
      <c r="R38" s="398"/>
      <c r="S38" s="398"/>
      <c r="T38" s="398"/>
      <c r="U38" s="398"/>
      <c r="V38" s="398"/>
    </row>
    <row r="39" spans="1:22" s="419" customFormat="1">
      <c r="A39" s="414" t="s">
        <v>454</v>
      </c>
      <c r="B39" s="86" t="s">
        <v>904</v>
      </c>
      <c r="C39" s="333" t="s">
        <v>882</v>
      </c>
      <c r="D39" s="334" t="s">
        <v>47</v>
      </c>
      <c r="E39" s="417">
        <v>3.4</v>
      </c>
      <c r="F39" s="408"/>
      <c r="G39" s="408"/>
      <c r="H39" s="408"/>
      <c r="I39" s="408"/>
      <c r="J39" s="409"/>
      <c r="K39" s="410"/>
      <c r="L39" s="411"/>
      <c r="M39" s="398"/>
      <c r="N39" s="398"/>
      <c r="O39" s="398"/>
      <c r="P39" s="398"/>
      <c r="Q39" s="398"/>
      <c r="R39" s="398"/>
      <c r="S39" s="398"/>
      <c r="T39" s="398"/>
      <c r="U39" s="398"/>
      <c r="V39" s="398"/>
    </row>
    <row r="40" spans="1:22" s="419" customFormat="1">
      <c r="A40" s="414" t="s">
        <v>455</v>
      </c>
      <c r="B40" s="414" t="s">
        <v>906</v>
      </c>
      <c r="C40" s="333" t="s">
        <v>883</v>
      </c>
      <c r="D40" s="334" t="s">
        <v>47</v>
      </c>
      <c r="E40" s="417">
        <v>3.4</v>
      </c>
      <c r="F40" s="408"/>
      <c r="G40" s="408"/>
      <c r="H40" s="408"/>
      <c r="I40" s="408"/>
      <c r="J40" s="409"/>
      <c r="K40" s="410"/>
      <c r="L40" s="411"/>
      <c r="M40" s="398"/>
      <c r="N40" s="398"/>
      <c r="O40" s="398"/>
      <c r="P40" s="398"/>
      <c r="Q40" s="398"/>
      <c r="R40" s="398"/>
      <c r="S40" s="398"/>
      <c r="T40" s="398"/>
      <c r="U40" s="398"/>
      <c r="V40" s="398"/>
    </row>
    <row r="41" spans="1:22" s="419" customFormat="1" ht="24">
      <c r="A41" s="414" t="s">
        <v>456</v>
      </c>
      <c r="B41" s="423" t="s">
        <v>907</v>
      </c>
      <c r="C41" s="333" t="s">
        <v>884</v>
      </c>
      <c r="D41" s="334" t="s">
        <v>890</v>
      </c>
      <c r="E41" s="417">
        <v>371.3</v>
      </c>
      <c r="F41" s="408"/>
      <c r="G41" s="408"/>
      <c r="H41" s="408"/>
      <c r="I41" s="408"/>
      <c r="J41" s="409"/>
      <c r="K41" s="410"/>
      <c r="L41" s="411"/>
      <c r="M41" s="398"/>
      <c r="N41" s="398"/>
      <c r="O41" s="398"/>
      <c r="P41" s="398"/>
      <c r="Q41" s="398"/>
      <c r="R41" s="398"/>
      <c r="S41" s="398"/>
      <c r="T41" s="398"/>
      <c r="U41" s="398"/>
      <c r="V41" s="398"/>
    </row>
    <row r="42" spans="1:22" s="419" customFormat="1">
      <c r="A42" s="414" t="s">
        <v>557</v>
      </c>
      <c r="B42" s="86" t="s">
        <v>832</v>
      </c>
      <c r="C42" s="333" t="s">
        <v>885</v>
      </c>
      <c r="D42" s="334" t="s">
        <v>890</v>
      </c>
      <c r="E42" s="417">
        <v>83.8</v>
      </c>
      <c r="F42" s="408"/>
      <c r="G42" s="408"/>
      <c r="H42" s="408"/>
      <c r="I42" s="408"/>
      <c r="J42" s="409"/>
      <c r="K42" s="410"/>
      <c r="L42" s="411"/>
      <c r="M42" s="398"/>
      <c r="N42" s="398"/>
      <c r="O42" s="398"/>
      <c r="P42" s="398"/>
      <c r="Q42" s="398"/>
      <c r="R42" s="398"/>
      <c r="S42" s="398"/>
      <c r="T42" s="398"/>
      <c r="U42" s="398"/>
      <c r="V42" s="398"/>
    </row>
    <row r="43" spans="1:22" s="419" customFormat="1" ht="24">
      <c r="A43" s="414" t="s">
        <v>558</v>
      </c>
      <c r="B43" s="423" t="s">
        <v>907</v>
      </c>
      <c r="C43" s="333" t="s">
        <v>886</v>
      </c>
      <c r="D43" s="334" t="s">
        <v>890</v>
      </c>
      <c r="E43" s="417">
        <v>293.39999999999998</v>
      </c>
      <c r="F43" s="408"/>
      <c r="G43" s="408"/>
      <c r="H43" s="408"/>
      <c r="I43" s="408"/>
      <c r="J43" s="409"/>
      <c r="K43" s="410"/>
      <c r="L43" s="411"/>
      <c r="M43" s="398"/>
      <c r="N43" s="398"/>
      <c r="O43" s="398"/>
      <c r="P43" s="398"/>
      <c r="Q43" s="398"/>
      <c r="R43" s="398"/>
      <c r="S43" s="398"/>
      <c r="T43" s="398"/>
      <c r="U43" s="398"/>
      <c r="V43" s="398"/>
    </row>
    <row r="44" spans="1:22" s="419" customFormat="1">
      <c r="A44" s="414" t="s">
        <v>893</v>
      </c>
      <c r="B44" s="86" t="s">
        <v>832</v>
      </c>
      <c r="C44" s="333" t="s">
        <v>887</v>
      </c>
      <c r="D44" s="334" t="s">
        <v>890</v>
      </c>
      <c r="E44" s="417">
        <v>147.19999999999999</v>
      </c>
      <c r="F44" s="408"/>
      <c r="G44" s="408"/>
      <c r="H44" s="408"/>
      <c r="I44" s="408"/>
      <c r="J44" s="409"/>
      <c r="K44" s="410"/>
      <c r="L44" s="411"/>
      <c r="M44" s="398"/>
      <c r="N44" s="398"/>
      <c r="O44" s="398"/>
      <c r="P44" s="398"/>
      <c r="Q44" s="398"/>
      <c r="R44" s="398"/>
      <c r="S44" s="398"/>
      <c r="T44" s="398"/>
      <c r="U44" s="398"/>
      <c r="V44" s="398"/>
    </row>
    <row r="45" spans="1:22" s="419" customFormat="1" ht="36.75">
      <c r="A45" s="414" t="s">
        <v>894</v>
      </c>
      <c r="B45" s="414"/>
      <c r="C45" s="418" t="s">
        <v>927</v>
      </c>
      <c r="D45" s="334" t="s">
        <v>29</v>
      </c>
      <c r="E45" s="417">
        <v>43.44</v>
      </c>
      <c r="F45" s="408"/>
      <c r="G45" s="408"/>
      <c r="H45" s="408"/>
      <c r="I45" s="408"/>
      <c r="J45" s="409"/>
      <c r="K45" s="410"/>
      <c r="L45" s="411"/>
      <c r="M45" s="398"/>
      <c r="N45" s="398"/>
      <c r="O45" s="398"/>
      <c r="P45" s="398"/>
      <c r="Q45" s="398"/>
      <c r="R45" s="398"/>
      <c r="S45" s="398"/>
      <c r="T45" s="398"/>
      <c r="U45" s="398"/>
      <c r="V45" s="398"/>
    </row>
    <row r="46" spans="1:22" s="419" customFormat="1">
      <c r="A46" s="414" t="s">
        <v>895</v>
      </c>
      <c r="B46" s="414"/>
      <c r="C46" s="333" t="s">
        <v>908</v>
      </c>
      <c r="D46" s="334" t="s">
        <v>27</v>
      </c>
      <c r="E46" s="417">
        <v>528</v>
      </c>
      <c r="F46" s="408"/>
      <c r="G46" s="408"/>
      <c r="H46" s="408"/>
      <c r="I46" s="408"/>
      <c r="J46" s="409"/>
      <c r="K46" s="410"/>
      <c r="L46" s="411"/>
      <c r="M46" s="398"/>
      <c r="N46" s="398"/>
      <c r="O46" s="398"/>
      <c r="P46" s="398"/>
      <c r="Q46" s="398"/>
      <c r="R46" s="398"/>
      <c r="S46" s="398"/>
      <c r="T46" s="398"/>
      <c r="U46" s="398"/>
      <c r="V46" s="398"/>
    </row>
    <row r="47" spans="1:22" s="419" customFormat="1">
      <c r="A47" s="414" t="s">
        <v>896</v>
      </c>
      <c r="B47" s="86" t="s">
        <v>904</v>
      </c>
      <c r="C47" s="333" t="s">
        <v>911</v>
      </c>
      <c r="D47" s="334" t="s">
        <v>47</v>
      </c>
      <c r="E47" s="417">
        <v>2.7</v>
      </c>
      <c r="F47" s="408"/>
      <c r="G47" s="408"/>
      <c r="H47" s="408"/>
      <c r="I47" s="408"/>
      <c r="J47" s="409"/>
      <c r="K47" s="410"/>
      <c r="L47" s="411"/>
      <c r="M47" s="398"/>
      <c r="N47" s="398"/>
      <c r="O47" s="398"/>
      <c r="P47" s="398"/>
      <c r="Q47" s="398"/>
      <c r="R47" s="398"/>
      <c r="S47" s="398"/>
      <c r="T47" s="398"/>
      <c r="U47" s="398"/>
      <c r="V47" s="398"/>
    </row>
    <row r="48" spans="1:22" s="419" customFormat="1">
      <c r="A48" s="414" t="s">
        <v>897</v>
      </c>
      <c r="B48" s="414" t="s">
        <v>906</v>
      </c>
      <c r="C48" s="333" t="s">
        <v>924</v>
      </c>
      <c r="D48" s="334" t="s">
        <v>47</v>
      </c>
      <c r="E48" s="417">
        <v>2.7</v>
      </c>
      <c r="F48" s="408"/>
      <c r="G48" s="408"/>
      <c r="H48" s="408"/>
      <c r="I48" s="408"/>
      <c r="J48" s="409"/>
      <c r="K48" s="410"/>
      <c r="L48" s="411"/>
      <c r="M48" s="398"/>
      <c r="N48" s="398"/>
      <c r="O48" s="398"/>
      <c r="P48" s="398"/>
      <c r="Q48" s="398"/>
      <c r="R48" s="398"/>
      <c r="S48" s="398"/>
      <c r="T48" s="398"/>
      <c r="U48" s="398"/>
      <c r="V48" s="398"/>
    </row>
    <row r="49" spans="1:22" s="419" customFormat="1" ht="24.75">
      <c r="A49" s="414" t="s">
        <v>898</v>
      </c>
      <c r="B49" s="414"/>
      <c r="C49" s="418" t="s">
        <v>925</v>
      </c>
      <c r="D49" s="334" t="s">
        <v>29</v>
      </c>
      <c r="E49" s="417">
        <v>5.8</v>
      </c>
      <c r="F49" s="408"/>
      <c r="G49" s="408"/>
      <c r="H49" s="408"/>
      <c r="I49" s="408"/>
      <c r="J49" s="409"/>
      <c r="K49" s="410"/>
      <c r="L49" s="411"/>
      <c r="M49" s="398"/>
      <c r="N49" s="398"/>
      <c r="O49" s="398"/>
      <c r="P49" s="398"/>
      <c r="Q49" s="398"/>
      <c r="R49" s="398"/>
      <c r="S49" s="398"/>
      <c r="T49" s="398"/>
      <c r="U49" s="398"/>
      <c r="V49" s="398"/>
    </row>
    <row r="50" spans="1:22" s="419" customFormat="1">
      <c r="A50" s="414" t="s">
        <v>899</v>
      </c>
      <c r="B50" s="86" t="s">
        <v>832</v>
      </c>
      <c r="C50" s="333" t="s">
        <v>891</v>
      </c>
      <c r="D50" s="334" t="s">
        <v>890</v>
      </c>
      <c r="E50" s="417">
        <v>14.4</v>
      </c>
      <c r="F50" s="408"/>
      <c r="G50" s="408"/>
      <c r="H50" s="408"/>
      <c r="I50" s="408"/>
      <c r="J50" s="409"/>
      <c r="K50" s="410"/>
      <c r="L50" s="411"/>
      <c r="M50" s="398"/>
      <c r="N50" s="398"/>
      <c r="O50" s="398"/>
      <c r="P50" s="398"/>
      <c r="Q50" s="398"/>
      <c r="R50" s="398"/>
      <c r="S50" s="398"/>
      <c r="T50" s="398"/>
      <c r="U50" s="398"/>
      <c r="V50" s="398"/>
    </row>
    <row r="51" spans="1:22" s="74" customFormat="1">
      <c r="A51" s="496" t="s">
        <v>18</v>
      </c>
      <c r="B51" s="496"/>
      <c r="C51" s="497"/>
      <c r="D51" s="497"/>
      <c r="E51" s="497"/>
      <c r="F51" s="497"/>
      <c r="G51" s="497"/>
      <c r="H51" s="497"/>
      <c r="I51" s="497"/>
      <c r="J51" s="22"/>
      <c r="K51" s="22"/>
      <c r="L51" s="79"/>
      <c r="M51" s="73"/>
      <c r="N51" s="73"/>
      <c r="O51" s="73"/>
      <c r="P51" s="73"/>
      <c r="Q51" s="73"/>
      <c r="R51" s="73"/>
      <c r="S51" s="73"/>
      <c r="T51" s="73"/>
      <c r="U51" s="73"/>
      <c r="V51" s="73"/>
    </row>
    <row r="52" spans="1:22" s="81" customFormat="1">
      <c r="A52" s="80" t="s">
        <v>38</v>
      </c>
      <c r="B52" s="456" t="s">
        <v>180</v>
      </c>
      <c r="C52" s="457"/>
      <c r="D52" s="457"/>
      <c r="E52" s="457"/>
      <c r="F52" s="457"/>
      <c r="G52" s="457"/>
      <c r="H52" s="457"/>
      <c r="I52" s="457"/>
      <c r="J52" s="457"/>
      <c r="K52" s="485"/>
      <c r="L52" s="78"/>
      <c r="M52" s="73"/>
      <c r="N52" s="73"/>
      <c r="O52" s="73"/>
      <c r="P52" s="73"/>
      <c r="Q52" s="73"/>
      <c r="R52" s="73"/>
      <c r="S52" s="73"/>
      <c r="T52" s="73"/>
      <c r="U52" s="73"/>
      <c r="V52" s="73"/>
    </row>
    <row r="53" spans="1:22" s="53" customFormat="1" ht="24.75">
      <c r="A53" s="48" t="s">
        <v>39</v>
      </c>
      <c r="B53" s="195" t="s">
        <v>181</v>
      </c>
      <c r="C53" s="58" t="s">
        <v>182</v>
      </c>
      <c r="D53" s="50" t="s">
        <v>29</v>
      </c>
      <c r="E53" s="47">
        <f>(1.4*19.2)+(1.4*5.15*4)+(1.4*5.65*4)+(1.23*13.45)+(((16.85+5.5)*2)*0.2)</f>
        <v>112.84349999999999</v>
      </c>
      <c r="F53" s="47"/>
      <c r="G53" s="47"/>
      <c r="H53" s="47"/>
      <c r="I53" s="47"/>
      <c r="J53" s="47"/>
      <c r="K53" s="82"/>
      <c r="L53" s="77"/>
      <c r="M53" s="11"/>
      <c r="N53" s="11"/>
      <c r="O53" s="11"/>
      <c r="P53" s="11"/>
      <c r="Q53" s="11"/>
      <c r="R53" s="11"/>
      <c r="S53" s="11"/>
      <c r="T53" s="11"/>
    </row>
    <row r="54" spans="1:22" s="53" customFormat="1" ht="24.75">
      <c r="A54" s="48" t="s">
        <v>40</v>
      </c>
      <c r="B54" s="195" t="s">
        <v>183</v>
      </c>
      <c r="C54" s="58" t="s">
        <v>184</v>
      </c>
      <c r="D54" s="50" t="s">
        <v>29</v>
      </c>
      <c r="E54" s="47">
        <f>2.85*26.9</f>
        <v>76.664999999999992</v>
      </c>
      <c r="F54" s="47"/>
      <c r="G54" s="47"/>
      <c r="H54" s="47"/>
      <c r="I54" s="47"/>
      <c r="J54" s="47"/>
      <c r="K54" s="47"/>
      <c r="L54" s="11"/>
      <c r="M54" s="11"/>
      <c r="N54" s="11"/>
      <c r="O54" s="11"/>
      <c r="P54" s="11"/>
      <c r="Q54" s="11"/>
      <c r="R54" s="11"/>
      <c r="S54" s="11"/>
      <c r="T54" s="11"/>
    </row>
    <row r="55" spans="1:22" s="53" customFormat="1" ht="24.95" customHeight="1">
      <c r="A55" s="48" t="s">
        <v>41</v>
      </c>
      <c r="B55" s="195" t="s">
        <v>185</v>
      </c>
      <c r="C55" s="58" t="s">
        <v>186</v>
      </c>
      <c r="D55" s="50" t="s">
        <v>47</v>
      </c>
      <c r="E55" s="47">
        <f>(0.2*0.1)*(2.1+(1.4*4)+2.4)</f>
        <v>0.20200000000000004</v>
      </c>
      <c r="F55" s="47"/>
      <c r="G55" s="47"/>
      <c r="H55" s="47"/>
      <c r="I55" s="47"/>
      <c r="J55" s="47"/>
      <c r="K55" s="47"/>
      <c r="L55" s="11"/>
      <c r="M55" s="11"/>
      <c r="N55" s="11"/>
      <c r="O55" s="11"/>
      <c r="P55" s="11"/>
      <c r="Q55" s="11"/>
      <c r="R55" s="11"/>
      <c r="S55" s="11"/>
      <c r="T55" s="11"/>
    </row>
    <row r="56" spans="1:22" s="74" customFormat="1">
      <c r="A56" s="496" t="s">
        <v>73</v>
      </c>
      <c r="B56" s="496"/>
      <c r="C56" s="497"/>
      <c r="D56" s="497"/>
      <c r="E56" s="497"/>
      <c r="F56" s="497"/>
      <c r="G56" s="497"/>
      <c r="H56" s="497"/>
      <c r="I56" s="497"/>
      <c r="J56" s="22"/>
      <c r="K56" s="22"/>
      <c r="L56" s="79"/>
      <c r="M56" s="73"/>
      <c r="N56" s="73"/>
      <c r="O56" s="73"/>
      <c r="P56" s="73"/>
      <c r="Q56" s="73"/>
      <c r="R56" s="73"/>
      <c r="S56" s="73"/>
      <c r="T56" s="73"/>
      <c r="U56" s="73"/>
      <c r="V56" s="73"/>
    </row>
    <row r="57" spans="1:22" s="53" customFormat="1" ht="15.75" customHeight="1">
      <c r="A57" s="60" t="s">
        <v>68</v>
      </c>
      <c r="B57" s="458" t="s">
        <v>104</v>
      </c>
      <c r="C57" s="459"/>
      <c r="D57" s="459"/>
      <c r="E57" s="459"/>
      <c r="F57" s="459"/>
      <c r="G57" s="459"/>
      <c r="H57" s="459"/>
      <c r="I57" s="459"/>
      <c r="J57" s="459"/>
      <c r="K57" s="473"/>
      <c r="L57" s="77"/>
      <c r="M57" s="11"/>
      <c r="N57" s="11"/>
      <c r="O57" s="11"/>
      <c r="P57" s="11"/>
      <c r="Q57" s="11"/>
      <c r="R57" s="11"/>
      <c r="S57" s="11"/>
      <c r="T57" s="11"/>
    </row>
    <row r="58" spans="1:22" s="53" customFormat="1" ht="24.75">
      <c r="A58" s="198" t="s">
        <v>69</v>
      </c>
      <c r="B58" s="195" t="s">
        <v>264</v>
      </c>
      <c r="C58" s="58" t="s">
        <v>532</v>
      </c>
      <c r="D58" s="50" t="s">
        <v>27</v>
      </c>
      <c r="E58" s="289">
        <v>1</v>
      </c>
      <c r="F58" s="54"/>
      <c r="G58" s="54"/>
      <c r="H58" s="54"/>
      <c r="I58" s="54"/>
      <c r="J58" s="54"/>
      <c r="K58" s="47"/>
      <c r="L58" s="11"/>
      <c r="M58" s="11"/>
      <c r="N58" s="11"/>
      <c r="O58" s="11"/>
      <c r="P58" s="11"/>
      <c r="Q58" s="11"/>
      <c r="R58" s="11"/>
      <c r="S58" s="11"/>
      <c r="T58" s="11"/>
    </row>
    <row r="59" spans="1:22" s="53" customFormat="1">
      <c r="A59" s="198" t="s">
        <v>70</v>
      </c>
      <c r="B59" s="182" t="s">
        <v>535</v>
      </c>
      <c r="C59" s="164" t="s">
        <v>536</v>
      </c>
      <c r="D59" s="165" t="s">
        <v>27</v>
      </c>
      <c r="E59" s="54">
        <v>1</v>
      </c>
      <c r="F59" s="54"/>
      <c r="G59" s="54"/>
      <c r="H59" s="54"/>
      <c r="I59" s="54"/>
      <c r="J59" s="54"/>
      <c r="K59" s="47"/>
      <c r="L59" s="11"/>
      <c r="M59" s="11"/>
      <c r="N59" s="11"/>
      <c r="O59" s="11"/>
      <c r="P59" s="11"/>
      <c r="Q59" s="11"/>
      <c r="R59" s="11"/>
      <c r="S59" s="11"/>
      <c r="T59" s="11"/>
    </row>
    <row r="60" spans="1:22" s="53" customFormat="1" ht="24.75">
      <c r="A60" s="198" t="s">
        <v>71</v>
      </c>
      <c r="B60" s="195" t="s">
        <v>195</v>
      </c>
      <c r="C60" s="58" t="s">
        <v>196</v>
      </c>
      <c r="D60" s="50" t="s">
        <v>27</v>
      </c>
      <c r="E60" s="54">
        <v>1</v>
      </c>
      <c r="F60" s="54"/>
      <c r="G60" s="54"/>
      <c r="H60" s="54"/>
      <c r="I60" s="54"/>
      <c r="J60" s="54"/>
      <c r="K60" s="47"/>
      <c r="L60" s="11"/>
      <c r="M60" s="11"/>
      <c r="N60" s="11"/>
      <c r="O60" s="11"/>
      <c r="P60" s="11"/>
      <c r="Q60" s="11"/>
      <c r="R60" s="11"/>
      <c r="S60" s="11"/>
      <c r="T60" s="11"/>
    </row>
    <row r="61" spans="1:22" s="53" customFormat="1" ht="24.75">
      <c r="A61" s="198" t="s">
        <v>72</v>
      </c>
      <c r="B61" s="195" t="s">
        <v>264</v>
      </c>
      <c r="C61" s="58" t="s">
        <v>265</v>
      </c>
      <c r="D61" s="50" t="s">
        <v>27</v>
      </c>
      <c r="E61" s="54">
        <v>5</v>
      </c>
      <c r="F61" s="54"/>
      <c r="G61" s="54"/>
      <c r="H61" s="54"/>
      <c r="I61" s="54"/>
      <c r="J61" s="54"/>
      <c r="K61" s="47"/>
      <c r="L61" s="11"/>
      <c r="M61" s="11"/>
      <c r="N61" s="11"/>
      <c r="O61" s="11"/>
      <c r="P61" s="11"/>
      <c r="Q61" s="11"/>
      <c r="R61" s="11"/>
      <c r="S61" s="11"/>
      <c r="T61" s="11"/>
    </row>
    <row r="62" spans="1:22" s="53" customFormat="1" ht="24.75">
      <c r="A62" s="198" t="s">
        <v>74</v>
      </c>
      <c r="B62" s="195" t="s">
        <v>266</v>
      </c>
      <c r="C62" s="58" t="s">
        <v>267</v>
      </c>
      <c r="D62" s="50" t="s">
        <v>27</v>
      </c>
      <c r="E62" s="54">
        <v>4</v>
      </c>
      <c r="F62" s="54"/>
      <c r="G62" s="54"/>
      <c r="H62" s="54"/>
      <c r="I62" s="54"/>
      <c r="J62" s="54"/>
      <c r="K62" s="47"/>
      <c r="L62" s="11"/>
      <c r="M62" s="11"/>
      <c r="N62" s="11"/>
      <c r="O62" s="11"/>
      <c r="P62" s="11"/>
      <c r="Q62" s="11"/>
      <c r="R62" s="11"/>
      <c r="S62" s="11"/>
      <c r="T62" s="11"/>
    </row>
    <row r="63" spans="1:22" s="53" customFormat="1" ht="24.75">
      <c r="A63" s="198" t="s">
        <v>75</v>
      </c>
      <c r="B63" s="195" t="s">
        <v>266</v>
      </c>
      <c r="C63" s="58" t="s">
        <v>690</v>
      </c>
      <c r="D63" s="50" t="s">
        <v>27</v>
      </c>
      <c r="E63" s="54">
        <v>4</v>
      </c>
      <c r="F63" s="54"/>
      <c r="G63" s="54"/>
      <c r="H63" s="54"/>
      <c r="I63" s="54"/>
      <c r="J63" s="54"/>
      <c r="K63" s="47"/>
      <c r="L63" s="11"/>
      <c r="M63" s="11"/>
      <c r="N63" s="11"/>
      <c r="O63" s="11"/>
      <c r="P63" s="11"/>
      <c r="Q63" s="11"/>
      <c r="R63" s="11"/>
      <c r="S63" s="11"/>
      <c r="T63" s="11"/>
    </row>
    <row r="64" spans="1:22" s="53" customFormat="1" ht="24.75">
      <c r="A64" s="198" t="s">
        <v>76</v>
      </c>
      <c r="B64" s="195" t="s">
        <v>199</v>
      </c>
      <c r="C64" s="58" t="s">
        <v>268</v>
      </c>
      <c r="D64" s="50" t="s">
        <v>27</v>
      </c>
      <c r="E64" s="47">
        <v>1</v>
      </c>
      <c r="F64" s="54"/>
      <c r="G64" s="54"/>
      <c r="H64" s="54"/>
      <c r="I64" s="54"/>
      <c r="J64" s="54"/>
      <c r="K64" s="47"/>
      <c r="L64" s="11"/>
      <c r="M64" s="11"/>
      <c r="N64" s="11"/>
      <c r="O64" s="11"/>
      <c r="P64" s="11"/>
      <c r="Q64" s="11"/>
      <c r="R64" s="11"/>
      <c r="S64" s="11"/>
      <c r="T64" s="11"/>
    </row>
    <row r="65" spans="1:22" s="53" customFormat="1" ht="15.75" customHeight="1">
      <c r="A65" s="479" t="s">
        <v>43</v>
      </c>
      <c r="B65" s="480"/>
      <c r="C65" s="480"/>
      <c r="D65" s="480"/>
      <c r="E65" s="480"/>
      <c r="F65" s="480"/>
      <c r="G65" s="480"/>
      <c r="H65" s="480"/>
      <c r="I65" s="481"/>
      <c r="J65" s="23"/>
      <c r="K65" s="23"/>
      <c r="L65" s="77"/>
      <c r="M65" s="11"/>
      <c r="N65" s="11"/>
      <c r="O65" s="11"/>
      <c r="P65" s="11"/>
      <c r="Q65" s="11"/>
      <c r="R65" s="11"/>
      <c r="S65" s="11"/>
      <c r="T65" s="11"/>
    </row>
    <row r="66" spans="1:22" s="74" customFormat="1">
      <c r="A66" s="70" t="s">
        <v>44</v>
      </c>
      <c r="B66" s="448" t="s">
        <v>109</v>
      </c>
      <c r="C66" s="449"/>
      <c r="D66" s="449"/>
      <c r="E66" s="449"/>
      <c r="F66" s="449"/>
      <c r="G66" s="449"/>
      <c r="H66" s="449"/>
      <c r="I66" s="449"/>
      <c r="J66" s="449"/>
      <c r="K66" s="449"/>
      <c r="L66" s="78"/>
      <c r="M66" s="73"/>
      <c r="N66" s="73"/>
      <c r="O66" s="73"/>
      <c r="P66" s="73"/>
      <c r="Q66" s="73"/>
      <c r="R66" s="73"/>
      <c r="S66" s="73"/>
      <c r="T66" s="73"/>
      <c r="U66" s="73"/>
      <c r="V66" s="73"/>
    </row>
    <row r="67" spans="1:22" s="81" customFormat="1" ht="24.75">
      <c r="A67" s="80" t="s">
        <v>82</v>
      </c>
      <c r="B67" s="197" t="s">
        <v>203</v>
      </c>
      <c r="C67" s="181" t="s">
        <v>204</v>
      </c>
      <c r="D67" s="92" t="s">
        <v>29</v>
      </c>
      <c r="E67" s="47">
        <v>49.88</v>
      </c>
      <c r="F67" s="47"/>
      <c r="G67" s="47"/>
      <c r="H67" s="47"/>
      <c r="I67" s="47"/>
      <c r="J67" s="82"/>
      <c r="K67" s="47"/>
      <c r="L67" s="78"/>
      <c r="M67" s="73"/>
      <c r="N67" s="73"/>
      <c r="O67" s="73"/>
      <c r="P67" s="73"/>
      <c r="Q67" s="73"/>
      <c r="R67" s="73"/>
      <c r="S67" s="73"/>
      <c r="T67" s="73"/>
      <c r="U67" s="73"/>
      <c r="V67" s="73"/>
    </row>
    <row r="68" spans="1:22" s="81" customFormat="1" ht="24.75">
      <c r="A68" s="80" t="s">
        <v>86</v>
      </c>
      <c r="B68" s="197" t="s">
        <v>205</v>
      </c>
      <c r="C68" s="181" t="s">
        <v>206</v>
      </c>
      <c r="D68" s="92" t="s">
        <v>29</v>
      </c>
      <c r="E68" s="47">
        <f>E67*1.005</f>
        <v>50.129399999999997</v>
      </c>
      <c r="F68" s="47"/>
      <c r="G68" s="47"/>
      <c r="H68" s="47"/>
      <c r="I68" s="47"/>
      <c r="J68" s="82"/>
      <c r="K68" s="47"/>
      <c r="L68" s="78"/>
      <c r="M68" s="73"/>
      <c r="N68" s="73"/>
      <c r="O68" s="73"/>
      <c r="P68" s="73"/>
      <c r="Q68" s="73"/>
      <c r="R68" s="73"/>
      <c r="S68" s="73"/>
      <c r="T68" s="73"/>
      <c r="U68" s="73"/>
      <c r="V68" s="73"/>
    </row>
    <row r="69" spans="1:22" s="81" customFormat="1">
      <c r="A69" s="80" t="s">
        <v>110</v>
      </c>
      <c r="B69" s="180">
        <v>72104</v>
      </c>
      <c r="C69" s="181" t="s">
        <v>520</v>
      </c>
      <c r="D69" s="182" t="s">
        <v>28</v>
      </c>
      <c r="E69" s="49">
        <f>(2*7.9)*1.005</f>
        <v>15.879</v>
      </c>
      <c r="F69" s="117"/>
      <c r="G69" s="117"/>
      <c r="H69" s="117"/>
      <c r="I69" s="117"/>
      <c r="J69" s="177"/>
      <c r="K69" s="47"/>
      <c r="L69" s="78"/>
      <c r="M69" s="73"/>
      <c r="N69" s="73"/>
      <c r="O69" s="73"/>
      <c r="P69" s="73"/>
      <c r="Q69" s="73"/>
      <c r="R69" s="73"/>
      <c r="S69" s="73"/>
      <c r="T69" s="73"/>
      <c r="U69" s="73"/>
      <c r="V69" s="73"/>
    </row>
    <row r="70" spans="1:22" s="81" customFormat="1">
      <c r="A70" s="80" t="s">
        <v>111</v>
      </c>
      <c r="B70" s="197">
        <v>72104</v>
      </c>
      <c r="C70" s="76" t="s">
        <v>208</v>
      </c>
      <c r="D70" s="92" t="s">
        <v>28</v>
      </c>
      <c r="E70" s="289">
        <v>5.25</v>
      </c>
      <c r="F70" s="47"/>
      <c r="G70" s="47"/>
      <c r="H70" s="47"/>
      <c r="I70" s="47"/>
      <c r="J70" s="82"/>
      <c r="K70" s="47"/>
      <c r="L70" s="78"/>
      <c r="M70" s="73"/>
      <c r="N70" s="73"/>
      <c r="O70" s="73"/>
      <c r="P70" s="73"/>
      <c r="Q70" s="73"/>
      <c r="R70" s="73"/>
      <c r="S70" s="73"/>
      <c r="T70" s="73"/>
      <c r="U70" s="73"/>
      <c r="V70" s="73"/>
    </row>
    <row r="71" spans="1:22" s="81" customFormat="1">
      <c r="A71" s="80" t="s">
        <v>463</v>
      </c>
      <c r="B71" s="197">
        <v>72106</v>
      </c>
      <c r="C71" s="76" t="s">
        <v>207</v>
      </c>
      <c r="D71" s="92" t="s">
        <v>28</v>
      </c>
      <c r="E71" s="47">
        <f>(2*7.9)*1.005</f>
        <v>15.879</v>
      </c>
      <c r="F71" s="47"/>
      <c r="G71" s="47"/>
      <c r="H71" s="47"/>
      <c r="I71" s="47"/>
      <c r="J71" s="82"/>
      <c r="K71" s="47"/>
      <c r="L71" s="78"/>
      <c r="M71" s="73"/>
      <c r="N71" s="73"/>
      <c r="O71" s="73"/>
      <c r="P71" s="73"/>
      <c r="Q71" s="73"/>
      <c r="R71" s="73"/>
      <c r="S71" s="73"/>
      <c r="T71" s="73"/>
      <c r="U71" s="73"/>
      <c r="V71" s="73"/>
    </row>
    <row r="72" spans="1:22" s="74" customFormat="1">
      <c r="A72" s="462" t="s">
        <v>45</v>
      </c>
      <c r="B72" s="463"/>
      <c r="C72" s="463"/>
      <c r="D72" s="463"/>
      <c r="E72" s="463"/>
      <c r="F72" s="463"/>
      <c r="G72" s="463"/>
      <c r="H72" s="463"/>
      <c r="I72" s="464"/>
      <c r="J72" s="23"/>
      <c r="K72" s="23"/>
      <c r="L72" s="79"/>
      <c r="M72" s="73"/>
      <c r="N72" s="73"/>
      <c r="O72" s="73"/>
      <c r="P72" s="73"/>
      <c r="Q72" s="73"/>
      <c r="R72" s="73"/>
      <c r="S72" s="73"/>
      <c r="T72" s="73"/>
      <c r="U72" s="73"/>
      <c r="V72" s="73"/>
    </row>
    <row r="73" spans="1:22" s="53" customFormat="1">
      <c r="A73" s="48" t="s">
        <v>83</v>
      </c>
      <c r="B73" s="474" t="s">
        <v>6</v>
      </c>
      <c r="C73" s="475"/>
      <c r="D73" s="475"/>
      <c r="E73" s="475"/>
      <c r="F73" s="475"/>
      <c r="G73" s="475"/>
      <c r="H73" s="475"/>
      <c r="I73" s="475"/>
      <c r="J73" s="475"/>
      <c r="K73" s="476"/>
      <c r="L73" s="77"/>
      <c r="M73" s="11"/>
      <c r="N73" s="11"/>
      <c r="O73" s="11"/>
      <c r="P73" s="11"/>
      <c r="Q73" s="11"/>
      <c r="R73" s="11"/>
      <c r="S73" s="11"/>
      <c r="T73" s="11"/>
    </row>
    <row r="74" spans="1:22" s="91" customFormat="1">
      <c r="A74" s="86" t="s">
        <v>343</v>
      </c>
      <c r="B74" s="358" t="s">
        <v>850</v>
      </c>
      <c r="C74" s="202" t="s">
        <v>31</v>
      </c>
      <c r="D74" s="201" t="s">
        <v>28</v>
      </c>
      <c r="E74" s="88">
        <v>152.94</v>
      </c>
      <c r="F74" s="202"/>
      <c r="G74" s="54"/>
      <c r="H74" s="202"/>
      <c r="I74" s="54"/>
      <c r="J74" s="54"/>
      <c r="K74" s="54"/>
      <c r="L74" s="90"/>
      <c r="M74" s="90"/>
      <c r="N74" s="90"/>
      <c r="O74" s="90"/>
      <c r="P74" s="90"/>
      <c r="Q74" s="90"/>
      <c r="R74" s="90"/>
      <c r="S74" s="90"/>
      <c r="T74" s="90"/>
    </row>
    <row r="75" spans="1:22" s="91" customFormat="1">
      <c r="A75" s="86" t="s">
        <v>344</v>
      </c>
      <c r="B75" s="137"/>
      <c r="C75" s="191" t="s">
        <v>48</v>
      </c>
      <c r="D75" s="173" t="s">
        <v>27</v>
      </c>
      <c r="E75" s="47">
        <v>7</v>
      </c>
      <c r="F75" s="47"/>
      <c r="G75" s="47"/>
      <c r="H75" s="47"/>
      <c r="I75" s="47"/>
      <c r="J75" s="47"/>
      <c r="K75" s="54"/>
      <c r="L75" s="90"/>
      <c r="M75" s="90"/>
      <c r="N75" s="90"/>
      <c r="O75" s="90"/>
      <c r="P75" s="90"/>
      <c r="Q75" s="90"/>
      <c r="R75" s="90"/>
      <c r="S75" s="90"/>
      <c r="T75" s="90"/>
    </row>
    <row r="76" spans="1:22" s="91" customFormat="1">
      <c r="A76" s="86" t="s">
        <v>345</v>
      </c>
      <c r="B76" s="137"/>
      <c r="C76" s="184" t="s">
        <v>100</v>
      </c>
      <c r="D76" s="173" t="s">
        <v>27</v>
      </c>
      <c r="E76" s="256">
        <v>9</v>
      </c>
      <c r="F76" s="47"/>
      <c r="G76" s="47"/>
      <c r="H76" s="185"/>
      <c r="I76" s="47"/>
      <c r="J76" s="47"/>
      <c r="K76" s="54"/>
      <c r="L76" s="90"/>
      <c r="M76" s="90"/>
      <c r="N76" s="90"/>
      <c r="O76" s="90"/>
      <c r="P76" s="90"/>
      <c r="Q76" s="90"/>
      <c r="R76" s="90"/>
      <c r="S76" s="90"/>
      <c r="T76" s="90"/>
    </row>
    <row r="77" spans="1:22" s="91" customFormat="1">
      <c r="A77" s="86" t="s">
        <v>346</v>
      </c>
      <c r="B77" s="137"/>
      <c r="C77" s="191" t="s">
        <v>32</v>
      </c>
      <c r="D77" s="173" t="s">
        <v>28</v>
      </c>
      <c r="E77" s="47">
        <v>30.58</v>
      </c>
      <c r="F77" s="47"/>
      <c r="G77" s="47"/>
      <c r="H77" s="47"/>
      <c r="I77" s="47"/>
      <c r="J77" s="47"/>
      <c r="K77" s="54"/>
      <c r="L77" s="90"/>
      <c r="M77" s="90"/>
      <c r="N77" s="90"/>
      <c r="O77" s="90"/>
      <c r="P77" s="90"/>
      <c r="Q77" s="90"/>
      <c r="R77" s="90"/>
      <c r="S77" s="90"/>
      <c r="T77" s="90"/>
    </row>
    <row r="78" spans="1:22" s="91" customFormat="1">
      <c r="A78" s="86" t="s">
        <v>347</v>
      </c>
      <c r="B78" s="137"/>
      <c r="C78" s="191" t="s">
        <v>52</v>
      </c>
      <c r="D78" s="173" t="s">
        <v>27</v>
      </c>
      <c r="E78" s="47">
        <v>2</v>
      </c>
      <c r="F78" s="47"/>
      <c r="G78" s="47"/>
      <c r="H78" s="47"/>
      <c r="I78" s="47"/>
      <c r="J78" s="47"/>
      <c r="K78" s="54"/>
      <c r="L78" s="90"/>
      <c r="M78" s="90"/>
      <c r="N78" s="90"/>
      <c r="O78" s="90"/>
      <c r="P78" s="90"/>
      <c r="Q78" s="90"/>
      <c r="R78" s="90"/>
      <c r="S78" s="90"/>
      <c r="T78" s="90"/>
    </row>
    <row r="79" spans="1:22" s="91" customFormat="1">
      <c r="A79" s="86" t="s">
        <v>348</v>
      </c>
      <c r="B79" s="137"/>
      <c r="C79" s="191" t="s">
        <v>313</v>
      </c>
      <c r="D79" s="173" t="s">
        <v>27</v>
      </c>
      <c r="E79" s="47">
        <v>1</v>
      </c>
      <c r="F79" s="47"/>
      <c r="G79" s="47"/>
      <c r="H79" s="47"/>
      <c r="I79" s="47"/>
      <c r="J79" s="47"/>
      <c r="K79" s="54"/>
      <c r="L79" s="90"/>
      <c r="M79" s="90"/>
      <c r="N79" s="90"/>
      <c r="O79" s="90"/>
      <c r="P79" s="90"/>
      <c r="Q79" s="90"/>
      <c r="R79" s="90"/>
      <c r="S79" s="90"/>
      <c r="T79" s="90"/>
    </row>
    <row r="80" spans="1:22" s="91" customFormat="1">
      <c r="A80" s="86" t="s">
        <v>349</v>
      </c>
      <c r="B80" s="137"/>
      <c r="C80" s="186" t="s">
        <v>314</v>
      </c>
      <c r="D80" s="173" t="s">
        <v>27</v>
      </c>
      <c r="E80" s="47">
        <v>2</v>
      </c>
      <c r="F80" s="186"/>
      <c r="G80" s="47"/>
      <c r="H80" s="47"/>
      <c r="I80" s="47"/>
      <c r="J80" s="47"/>
      <c r="K80" s="54"/>
      <c r="L80" s="90"/>
      <c r="M80" s="90"/>
      <c r="N80" s="90"/>
      <c r="O80" s="90"/>
      <c r="P80" s="90"/>
      <c r="Q80" s="90"/>
      <c r="R80" s="90"/>
      <c r="S80" s="90"/>
      <c r="T80" s="90"/>
    </row>
    <row r="81" spans="1:20" s="91" customFormat="1">
      <c r="A81" s="86" t="s">
        <v>350</v>
      </c>
      <c r="B81" s="137"/>
      <c r="C81" s="186" t="s">
        <v>91</v>
      </c>
      <c r="D81" s="173" t="s">
        <v>27</v>
      </c>
      <c r="E81" s="47">
        <v>9</v>
      </c>
      <c r="F81" s="186"/>
      <c r="G81" s="47"/>
      <c r="H81" s="186"/>
      <c r="I81" s="47"/>
      <c r="J81" s="47"/>
      <c r="K81" s="54"/>
      <c r="L81" s="90"/>
      <c r="M81" s="90"/>
      <c r="N81" s="90"/>
      <c r="O81" s="90"/>
      <c r="P81" s="90"/>
      <c r="Q81" s="90"/>
      <c r="R81" s="90"/>
      <c r="S81" s="90"/>
      <c r="T81" s="90"/>
    </row>
    <row r="82" spans="1:20" s="91" customFormat="1">
      <c r="A82" s="86" t="s">
        <v>351</v>
      </c>
      <c r="B82" s="359" t="s">
        <v>852</v>
      </c>
      <c r="C82" s="186" t="s">
        <v>604</v>
      </c>
      <c r="D82" s="173" t="s">
        <v>27</v>
      </c>
      <c r="E82" s="47">
        <v>1</v>
      </c>
      <c r="F82" s="47"/>
      <c r="G82" s="47"/>
      <c r="H82" s="186"/>
      <c r="I82" s="47"/>
      <c r="J82" s="47"/>
      <c r="K82" s="54"/>
      <c r="L82" s="90"/>
      <c r="M82" s="90"/>
      <c r="N82" s="90"/>
      <c r="O82" s="90"/>
      <c r="P82" s="90"/>
      <c r="Q82" s="90"/>
      <c r="R82" s="90"/>
      <c r="S82" s="90"/>
      <c r="T82" s="90"/>
    </row>
    <row r="83" spans="1:20" s="91" customFormat="1">
      <c r="A83" s="86" t="s">
        <v>386</v>
      </c>
      <c r="B83" s="359" t="s">
        <v>852</v>
      </c>
      <c r="C83" s="186" t="s">
        <v>50</v>
      </c>
      <c r="D83" s="173" t="s">
        <v>27</v>
      </c>
      <c r="E83" s="47">
        <v>2</v>
      </c>
      <c r="F83" s="47"/>
      <c r="G83" s="47"/>
      <c r="H83" s="186"/>
      <c r="I83" s="47"/>
      <c r="J83" s="47"/>
      <c r="K83" s="54"/>
      <c r="L83" s="90"/>
      <c r="M83" s="90"/>
      <c r="N83" s="90"/>
      <c r="O83" s="90"/>
      <c r="P83" s="90"/>
      <c r="Q83" s="90"/>
      <c r="R83" s="90"/>
      <c r="S83" s="90"/>
      <c r="T83" s="90"/>
    </row>
    <row r="84" spans="1:20" s="91" customFormat="1">
      <c r="A84" s="86"/>
      <c r="B84" s="137"/>
      <c r="C84" s="186" t="s">
        <v>93</v>
      </c>
      <c r="D84" s="173" t="s">
        <v>27</v>
      </c>
      <c r="E84" s="47">
        <v>1</v>
      </c>
      <c r="F84" s="47"/>
      <c r="G84" s="47"/>
      <c r="H84" s="186"/>
      <c r="I84" s="47"/>
      <c r="J84" s="47"/>
      <c r="K84" s="54"/>
      <c r="L84" s="90"/>
      <c r="M84" s="90"/>
      <c r="N84" s="90"/>
      <c r="O84" s="90"/>
      <c r="P84" s="90"/>
      <c r="Q84" s="90"/>
      <c r="R84" s="90"/>
      <c r="S84" s="90"/>
      <c r="T84" s="90"/>
    </row>
    <row r="85" spans="1:20" s="91" customFormat="1">
      <c r="A85" s="86" t="s">
        <v>387</v>
      </c>
      <c r="B85" s="137"/>
      <c r="C85" s="186" t="s">
        <v>335</v>
      </c>
      <c r="D85" s="173" t="s">
        <v>27</v>
      </c>
      <c r="E85" s="47">
        <v>1</v>
      </c>
      <c r="F85" s="47"/>
      <c r="G85" s="47"/>
      <c r="H85" s="186"/>
      <c r="I85" s="47"/>
      <c r="J85" s="47"/>
      <c r="K85" s="54"/>
      <c r="L85" s="90"/>
      <c r="M85" s="90"/>
      <c r="N85" s="90"/>
      <c r="O85" s="90"/>
      <c r="P85" s="90"/>
      <c r="Q85" s="90"/>
      <c r="R85" s="90"/>
      <c r="S85" s="90"/>
      <c r="T85" s="90"/>
    </row>
    <row r="86" spans="1:20">
      <c r="A86" s="479" t="s">
        <v>84</v>
      </c>
      <c r="B86" s="480"/>
      <c r="C86" s="480"/>
      <c r="D86" s="480"/>
      <c r="E86" s="480"/>
      <c r="F86" s="480"/>
      <c r="G86" s="480"/>
      <c r="H86" s="480"/>
      <c r="I86" s="481"/>
      <c r="J86" s="23"/>
      <c r="K86" s="39"/>
      <c r="L86" s="11"/>
      <c r="M86" s="11"/>
      <c r="N86" s="11"/>
      <c r="O86" s="11"/>
      <c r="P86" s="11"/>
      <c r="Q86" s="11"/>
      <c r="R86" s="11"/>
      <c r="S86" s="11"/>
      <c r="T86" s="11"/>
    </row>
    <row r="87" spans="1:20" s="53" customFormat="1">
      <c r="A87" s="60" t="s">
        <v>46</v>
      </c>
      <c r="B87" s="486" t="s">
        <v>112</v>
      </c>
      <c r="C87" s="487"/>
      <c r="D87" s="487"/>
      <c r="E87" s="487"/>
      <c r="F87" s="487"/>
      <c r="G87" s="487"/>
      <c r="H87" s="487"/>
      <c r="I87" s="487"/>
      <c r="J87" s="487"/>
      <c r="K87" s="488"/>
      <c r="L87" s="11"/>
      <c r="M87" s="11"/>
      <c r="N87" s="11"/>
      <c r="O87" s="11"/>
      <c r="P87" s="11"/>
      <c r="Q87" s="11"/>
      <c r="R87" s="11"/>
      <c r="S87" s="11"/>
      <c r="T87" s="11"/>
    </row>
    <row r="88" spans="1:20" s="53" customFormat="1">
      <c r="A88" s="48" t="s">
        <v>352</v>
      </c>
      <c r="B88" s="48"/>
      <c r="C88" s="184" t="s">
        <v>94</v>
      </c>
      <c r="D88" s="205" t="s">
        <v>28</v>
      </c>
      <c r="E88" s="261">
        <v>30</v>
      </c>
      <c r="F88" s="47"/>
      <c r="G88" s="47"/>
      <c r="H88" s="47"/>
      <c r="I88" s="47"/>
      <c r="J88" s="47"/>
      <c r="K88" s="54"/>
      <c r="L88" s="11"/>
      <c r="M88" s="11"/>
      <c r="N88" s="11"/>
      <c r="O88" s="11"/>
      <c r="P88" s="11"/>
      <c r="Q88" s="11"/>
      <c r="R88" s="11"/>
      <c r="S88" s="11"/>
      <c r="T88" s="11"/>
    </row>
    <row r="89" spans="1:20" s="53" customFormat="1">
      <c r="A89" s="48" t="s">
        <v>353</v>
      </c>
      <c r="B89" s="48"/>
      <c r="C89" s="184" t="s">
        <v>95</v>
      </c>
      <c r="D89" s="173" t="s">
        <v>27</v>
      </c>
      <c r="E89" s="261">
        <v>1</v>
      </c>
      <c r="F89" s="185"/>
      <c r="G89" s="47"/>
      <c r="H89" s="185"/>
      <c r="I89" s="47"/>
      <c r="J89" s="47"/>
      <c r="K89" s="54"/>
      <c r="L89" s="11"/>
      <c r="M89" s="11"/>
      <c r="N89" s="11"/>
      <c r="O89" s="11"/>
      <c r="P89" s="11"/>
      <c r="Q89" s="11"/>
      <c r="R89" s="11"/>
      <c r="S89" s="11"/>
      <c r="T89" s="11"/>
    </row>
    <row r="90" spans="1:20" s="53" customFormat="1">
      <c r="A90" s="48" t="s">
        <v>354</v>
      </c>
      <c r="B90" s="48"/>
      <c r="C90" s="184" t="s">
        <v>99</v>
      </c>
      <c r="D90" s="173" t="s">
        <v>27</v>
      </c>
      <c r="E90" s="261">
        <v>1</v>
      </c>
      <c r="F90" s="185"/>
      <c r="G90" s="47"/>
      <c r="H90" s="185"/>
      <c r="I90" s="47"/>
      <c r="J90" s="47"/>
      <c r="K90" s="54"/>
      <c r="L90" s="11"/>
      <c r="M90" s="11"/>
      <c r="N90" s="11"/>
      <c r="O90" s="11"/>
      <c r="P90" s="11"/>
      <c r="Q90" s="11"/>
      <c r="R90" s="11"/>
      <c r="S90" s="11"/>
      <c r="T90" s="11"/>
    </row>
    <row r="91" spans="1:20" s="53" customFormat="1" ht="24.75">
      <c r="A91" s="48" t="s">
        <v>355</v>
      </c>
      <c r="B91" s="48"/>
      <c r="C91" s="206" t="s">
        <v>97</v>
      </c>
      <c r="D91" s="171" t="s">
        <v>27</v>
      </c>
      <c r="E91" s="261">
        <v>1</v>
      </c>
      <c r="F91" s="185"/>
      <c r="G91" s="257"/>
      <c r="H91" s="185"/>
      <c r="I91" s="257"/>
      <c r="J91" s="257"/>
      <c r="K91" s="54"/>
      <c r="L91" s="11"/>
      <c r="M91" s="11"/>
      <c r="N91" s="11"/>
      <c r="O91" s="11"/>
      <c r="P91" s="11"/>
      <c r="Q91" s="11"/>
      <c r="R91" s="11"/>
      <c r="S91" s="11"/>
      <c r="T91" s="11"/>
    </row>
    <row r="92" spans="1:20" s="53" customFormat="1">
      <c r="A92" s="48" t="s">
        <v>356</v>
      </c>
      <c r="B92" s="48"/>
      <c r="C92" s="184" t="s">
        <v>98</v>
      </c>
      <c r="D92" s="205" t="s">
        <v>28</v>
      </c>
      <c r="E92" s="261">
        <v>60.3</v>
      </c>
      <c r="F92" s="185"/>
      <c r="G92" s="47"/>
      <c r="H92" s="185"/>
      <c r="I92" s="47"/>
      <c r="J92" s="47"/>
      <c r="K92" s="54"/>
      <c r="L92" s="11"/>
      <c r="M92" s="11"/>
      <c r="N92" s="11"/>
      <c r="O92" s="11"/>
      <c r="P92" s="11"/>
      <c r="Q92" s="11"/>
      <c r="R92" s="11"/>
      <c r="S92" s="11"/>
      <c r="T92" s="11"/>
    </row>
    <row r="93" spans="1:20" s="53" customFormat="1">
      <c r="A93" s="48" t="s">
        <v>357</v>
      </c>
      <c r="B93" s="48"/>
      <c r="C93" s="207" t="s">
        <v>96</v>
      </c>
      <c r="D93" s="208" t="s">
        <v>28</v>
      </c>
      <c r="E93" s="262">
        <v>60.3</v>
      </c>
      <c r="F93" s="209"/>
      <c r="G93" s="47"/>
      <c r="H93" s="209"/>
      <c r="I93" s="47"/>
      <c r="J93" s="47"/>
      <c r="K93" s="54"/>
      <c r="L93" s="11"/>
      <c r="M93" s="11"/>
      <c r="N93" s="11"/>
      <c r="O93" s="11"/>
      <c r="P93" s="11"/>
      <c r="Q93" s="11"/>
      <c r="R93" s="11"/>
      <c r="S93" s="11"/>
      <c r="T93" s="11"/>
    </row>
    <row r="94" spans="1:20" s="53" customFormat="1">
      <c r="A94" s="48" t="s">
        <v>358</v>
      </c>
      <c r="B94" s="48"/>
      <c r="C94" s="203" t="s">
        <v>48</v>
      </c>
      <c r="D94" s="173" t="s">
        <v>27</v>
      </c>
      <c r="E94" s="172">
        <v>2</v>
      </c>
      <c r="F94" s="47"/>
      <c r="G94" s="47"/>
      <c r="H94" s="47"/>
      <c r="I94" s="47"/>
      <c r="J94" s="47"/>
      <c r="K94" s="54"/>
      <c r="L94" s="11"/>
      <c r="M94" s="11"/>
      <c r="N94" s="11"/>
      <c r="O94" s="11"/>
      <c r="P94" s="11"/>
      <c r="Q94" s="11"/>
      <c r="R94" s="11"/>
      <c r="S94" s="11"/>
      <c r="T94" s="11"/>
    </row>
    <row r="95" spans="1:20" s="53" customFormat="1">
      <c r="A95" s="482" t="s">
        <v>85</v>
      </c>
      <c r="B95" s="483"/>
      <c r="C95" s="483"/>
      <c r="D95" s="483"/>
      <c r="E95" s="483"/>
      <c r="F95" s="483"/>
      <c r="G95" s="483"/>
      <c r="H95" s="483"/>
      <c r="I95" s="484"/>
      <c r="J95" s="61"/>
      <c r="K95" s="407"/>
      <c r="L95" s="11"/>
      <c r="M95" s="11"/>
      <c r="N95" s="11"/>
      <c r="O95" s="11"/>
      <c r="P95" s="11"/>
      <c r="Q95" s="11"/>
      <c r="R95" s="11"/>
      <c r="S95" s="11"/>
      <c r="T95" s="11"/>
    </row>
    <row r="96" spans="1:20" s="53" customFormat="1">
      <c r="A96" s="60" t="s">
        <v>138</v>
      </c>
      <c r="B96" s="559" t="s">
        <v>54</v>
      </c>
      <c r="C96" s="560"/>
      <c r="D96" s="560"/>
      <c r="E96" s="560"/>
      <c r="F96" s="560"/>
      <c r="G96" s="560"/>
      <c r="H96" s="560"/>
      <c r="I96" s="560"/>
      <c r="J96" s="560"/>
      <c r="K96" s="561"/>
      <c r="L96" s="11"/>
      <c r="M96" s="11"/>
      <c r="N96" s="11"/>
      <c r="O96" s="11"/>
      <c r="P96" s="11"/>
      <c r="Q96" s="11"/>
      <c r="R96" s="11"/>
      <c r="S96" s="11"/>
      <c r="T96" s="11"/>
    </row>
    <row r="97" spans="1:20" s="53" customFormat="1">
      <c r="A97" s="48" t="s">
        <v>359</v>
      </c>
      <c r="B97" s="365" t="s">
        <v>747</v>
      </c>
      <c r="C97" s="186" t="s">
        <v>336</v>
      </c>
      <c r="D97" s="173" t="s">
        <v>28</v>
      </c>
      <c r="E97" s="47">
        <v>78.400000000000006</v>
      </c>
      <c r="F97" s="47"/>
      <c r="G97" s="47"/>
      <c r="H97" s="47"/>
      <c r="I97" s="47"/>
      <c r="J97" s="47"/>
      <c r="K97" s="54"/>
      <c r="L97" s="11"/>
      <c r="M97" s="395"/>
      <c r="N97" s="372"/>
      <c r="O97" s="11"/>
      <c r="P97" s="11"/>
      <c r="Q97" s="11"/>
      <c r="R97" s="11"/>
      <c r="S97" s="11"/>
      <c r="T97" s="11"/>
    </row>
    <row r="98" spans="1:20" s="53" customFormat="1">
      <c r="A98" s="48" t="s">
        <v>360</v>
      </c>
      <c r="B98" s="365" t="s">
        <v>857</v>
      </c>
      <c r="C98" s="186" t="s">
        <v>338</v>
      </c>
      <c r="D98" s="173" t="s">
        <v>28</v>
      </c>
      <c r="E98" s="47">
        <v>7.4</v>
      </c>
      <c r="F98" s="47"/>
      <c r="G98" s="47"/>
      <c r="H98" s="47"/>
      <c r="I98" s="47"/>
      <c r="J98" s="47"/>
      <c r="K98" s="54"/>
      <c r="L98" s="11"/>
      <c r="M98" s="395"/>
      <c r="N98" s="372"/>
      <c r="O98" s="11"/>
      <c r="P98" s="11"/>
      <c r="Q98" s="11"/>
      <c r="R98" s="11"/>
      <c r="S98" s="11"/>
      <c r="T98" s="11"/>
    </row>
    <row r="99" spans="1:20" s="53" customFormat="1">
      <c r="A99" s="48" t="s">
        <v>361</v>
      </c>
      <c r="B99" s="365" t="s">
        <v>859</v>
      </c>
      <c r="C99" s="186" t="s">
        <v>339</v>
      </c>
      <c r="D99" s="173" t="s">
        <v>28</v>
      </c>
      <c r="E99" s="47">
        <v>47.69</v>
      </c>
      <c r="F99" s="47"/>
      <c r="G99" s="47"/>
      <c r="H99" s="47"/>
      <c r="I99" s="47"/>
      <c r="J99" s="47"/>
      <c r="K99" s="54"/>
      <c r="L99" s="11"/>
      <c r="M99" s="395"/>
      <c r="N99" s="372"/>
      <c r="O99" s="11"/>
      <c r="P99" s="11"/>
      <c r="Q99" s="11"/>
      <c r="R99" s="11"/>
      <c r="S99" s="11"/>
      <c r="T99" s="11"/>
    </row>
    <row r="100" spans="1:20" s="53" customFormat="1">
      <c r="A100" s="48" t="s">
        <v>362</v>
      </c>
      <c r="B100" s="365" t="s">
        <v>862</v>
      </c>
      <c r="C100" s="186" t="s">
        <v>340</v>
      </c>
      <c r="D100" s="173" t="s">
        <v>28</v>
      </c>
      <c r="E100" s="47">
        <v>10.93</v>
      </c>
      <c r="F100" s="47"/>
      <c r="G100" s="47"/>
      <c r="H100" s="47"/>
      <c r="I100" s="47"/>
      <c r="J100" s="47"/>
      <c r="K100" s="54"/>
      <c r="L100" s="11"/>
      <c r="M100" s="395"/>
      <c r="N100" s="372"/>
      <c r="O100" s="11"/>
      <c r="P100" s="11"/>
      <c r="Q100" s="11"/>
      <c r="R100" s="11"/>
      <c r="S100" s="11"/>
      <c r="T100" s="11"/>
    </row>
    <row r="101" spans="1:20" s="53" customFormat="1">
      <c r="A101" s="48" t="s">
        <v>363</v>
      </c>
      <c r="B101" s="365">
        <v>72557</v>
      </c>
      <c r="C101" s="186" t="s">
        <v>55</v>
      </c>
      <c r="D101" s="173" t="s">
        <v>27</v>
      </c>
      <c r="E101" s="47">
        <v>5</v>
      </c>
      <c r="F101" s="47"/>
      <c r="G101" s="47"/>
      <c r="H101" s="47"/>
      <c r="I101" s="47"/>
      <c r="J101" s="47"/>
      <c r="K101" s="54"/>
      <c r="L101" s="11"/>
      <c r="M101" s="395"/>
      <c r="N101" s="372"/>
      <c r="O101" s="11"/>
      <c r="P101" s="11"/>
      <c r="Q101" s="11"/>
      <c r="R101" s="11"/>
      <c r="S101" s="11"/>
      <c r="T101" s="11"/>
    </row>
    <row r="102" spans="1:20" s="53" customFormat="1">
      <c r="A102" s="48" t="s">
        <v>364</v>
      </c>
      <c r="B102" s="369">
        <v>72560</v>
      </c>
      <c r="C102" s="186" t="s">
        <v>319</v>
      </c>
      <c r="D102" s="173" t="s">
        <v>27</v>
      </c>
      <c r="E102" s="47">
        <v>3</v>
      </c>
      <c r="F102" s="47"/>
      <c r="G102" s="47"/>
      <c r="H102" s="47"/>
      <c r="I102" s="47"/>
      <c r="J102" s="47"/>
      <c r="K102" s="54"/>
      <c r="L102" s="11"/>
      <c r="M102" s="403"/>
      <c r="N102" s="372"/>
      <c r="O102" s="11"/>
      <c r="P102" s="11"/>
      <c r="Q102" s="11"/>
      <c r="R102" s="11"/>
      <c r="S102" s="11"/>
      <c r="T102" s="11"/>
    </row>
    <row r="103" spans="1:20" s="53" customFormat="1">
      <c r="A103" s="48" t="s">
        <v>365</v>
      </c>
      <c r="B103" s="369">
        <v>72573</v>
      </c>
      <c r="C103" s="186" t="s">
        <v>290</v>
      </c>
      <c r="D103" s="173" t="s">
        <v>27</v>
      </c>
      <c r="E103" s="47">
        <v>12</v>
      </c>
      <c r="F103" s="47"/>
      <c r="G103" s="47"/>
      <c r="H103" s="47"/>
      <c r="I103" s="47"/>
      <c r="J103" s="47"/>
      <c r="K103" s="54"/>
      <c r="L103" s="11"/>
      <c r="M103" s="403"/>
      <c r="N103" s="372"/>
      <c r="O103" s="11"/>
      <c r="P103" s="11"/>
      <c r="Q103" s="11"/>
      <c r="R103" s="11"/>
      <c r="S103" s="11"/>
      <c r="T103" s="11"/>
    </row>
    <row r="104" spans="1:20" s="53" customFormat="1">
      <c r="A104" s="48" t="s">
        <v>366</v>
      </c>
      <c r="B104" s="369">
        <v>72580</v>
      </c>
      <c r="C104" s="186" t="s">
        <v>291</v>
      </c>
      <c r="D104" s="173" t="s">
        <v>27</v>
      </c>
      <c r="E104" s="47">
        <v>3</v>
      </c>
      <c r="F104" s="47"/>
      <c r="G104" s="47"/>
      <c r="H104" s="47"/>
      <c r="I104" s="47"/>
      <c r="J104" s="47"/>
      <c r="K104" s="54"/>
      <c r="L104" s="11"/>
      <c r="M104" s="403"/>
      <c r="N104" s="372"/>
      <c r="O104" s="11"/>
      <c r="P104" s="11"/>
      <c r="Q104" s="11"/>
      <c r="R104" s="11"/>
      <c r="S104" s="11"/>
      <c r="T104" s="11"/>
    </row>
    <row r="105" spans="1:20" s="53" customFormat="1">
      <c r="A105" s="48" t="s">
        <v>367</v>
      </c>
      <c r="B105" s="48"/>
      <c r="C105" s="186" t="s">
        <v>292</v>
      </c>
      <c r="D105" s="173" t="s">
        <v>27</v>
      </c>
      <c r="E105" s="47">
        <v>5</v>
      </c>
      <c r="F105" s="47"/>
      <c r="G105" s="47"/>
      <c r="H105" s="47"/>
      <c r="I105" s="47"/>
      <c r="J105" s="47"/>
      <c r="K105" s="54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1:20" s="53" customFormat="1">
      <c r="A106" s="48" t="s">
        <v>368</v>
      </c>
      <c r="B106" s="48"/>
      <c r="C106" s="186" t="s">
        <v>58</v>
      </c>
      <c r="D106" s="173" t="s">
        <v>27</v>
      </c>
      <c r="E106" s="47">
        <v>5</v>
      </c>
      <c r="F106" s="47"/>
      <c r="G106" s="47"/>
      <c r="H106" s="47"/>
      <c r="I106" s="47"/>
      <c r="J106" s="47"/>
      <c r="K106" s="54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1:20" s="53" customFormat="1">
      <c r="A107" s="48" t="s">
        <v>369</v>
      </c>
      <c r="B107" s="48"/>
      <c r="C107" s="186" t="s">
        <v>293</v>
      </c>
      <c r="D107" s="173" t="s">
        <v>27</v>
      </c>
      <c r="E107" s="47">
        <v>3</v>
      </c>
      <c r="F107" s="47"/>
      <c r="G107" s="47"/>
      <c r="H107" s="47"/>
      <c r="I107" s="47"/>
      <c r="J107" s="47"/>
      <c r="K107" s="54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1:20" s="53" customFormat="1">
      <c r="A108" s="48" t="s">
        <v>370</v>
      </c>
      <c r="B108" s="48"/>
      <c r="C108" s="186" t="s">
        <v>60</v>
      </c>
      <c r="D108" s="173" t="s">
        <v>27</v>
      </c>
      <c r="E108" s="47">
        <v>1</v>
      </c>
      <c r="F108" s="47"/>
      <c r="G108" s="47"/>
      <c r="H108" s="47"/>
      <c r="I108" s="47"/>
      <c r="J108" s="47"/>
      <c r="K108" s="54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1:20" s="53" customFormat="1">
      <c r="A109" s="48" t="s">
        <v>371</v>
      </c>
      <c r="B109" s="48"/>
      <c r="C109" s="186" t="s">
        <v>62</v>
      </c>
      <c r="D109" s="173" t="s">
        <v>27</v>
      </c>
      <c r="E109" s="47">
        <v>1</v>
      </c>
      <c r="F109" s="47"/>
      <c r="G109" s="47"/>
      <c r="H109" s="47"/>
      <c r="I109" s="47"/>
      <c r="J109" s="47"/>
      <c r="K109" s="54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 s="53" customFormat="1">
      <c r="A110" s="48" t="s">
        <v>372</v>
      </c>
      <c r="B110" s="48"/>
      <c r="C110" s="191" t="s">
        <v>323</v>
      </c>
      <c r="D110" s="173" t="s">
        <v>27</v>
      </c>
      <c r="E110" s="47">
        <v>1</v>
      </c>
      <c r="F110" s="47"/>
      <c r="G110" s="47"/>
      <c r="H110" s="47"/>
      <c r="I110" s="47"/>
      <c r="J110" s="47"/>
      <c r="K110" s="54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0" s="53" customFormat="1">
      <c r="A111" s="48" t="s">
        <v>373</v>
      </c>
      <c r="B111" s="48"/>
      <c r="C111" s="191" t="s">
        <v>296</v>
      </c>
      <c r="D111" s="173" t="s">
        <v>27</v>
      </c>
      <c r="E111" s="47">
        <v>1</v>
      </c>
      <c r="F111" s="47"/>
      <c r="G111" s="47"/>
      <c r="H111" s="47"/>
      <c r="I111" s="47"/>
      <c r="J111" s="47"/>
      <c r="K111" s="54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 s="53" customFormat="1">
      <c r="A112" s="48" t="s">
        <v>374</v>
      </c>
      <c r="B112" s="48"/>
      <c r="C112" s="186" t="s">
        <v>298</v>
      </c>
      <c r="D112" s="173" t="s">
        <v>27</v>
      </c>
      <c r="E112" s="47">
        <v>1</v>
      </c>
      <c r="F112" s="47"/>
      <c r="G112" s="47"/>
      <c r="H112" s="47"/>
      <c r="I112" s="47"/>
      <c r="J112" s="47"/>
      <c r="K112" s="54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2" s="53" customFormat="1">
      <c r="A113" s="48" t="s">
        <v>375</v>
      </c>
      <c r="B113" s="48"/>
      <c r="C113" s="186" t="s">
        <v>63</v>
      </c>
      <c r="D113" s="173" t="s">
        <v>27</v>
      </c>
      <c r="E113" s="47">
        <v>1</v>
      </c>
      <c r="F113" s="47"/>
      <c r="G113" s="47"/>
      <c r="H113" s="47"/>
      <c r="I113" s="47"/>
      <c r="J113" s="47"/>
      <c r="K113" s="54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2" s="53" customFormat="1">
      <c r="A114" s="48" t="s">
        <v>376</v>
      </c>
      <c r="B114" s="48"/>
      <c r="C114" s="186" t="s">
        <v>302</v>
      </c>
      <c r="D114" s="173" t="s">
        <v>27</v>
      </c>
      <c r="E114" s="47">
        <v>1</v>
      </c>
      <c r="F114" s="47"/>
      <c r="G114" s="47"/>
      <c r="H114" s="47"/>
      <c r="I114" s="47"/>
      <c r="J114" s="47"/>
      <c r="K114" s="54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2" s="53" customFormat="1">
      <c r="A115" s="48" t="s">
        <v>377</v>
      </c>
      <c r="B115" s="48"/>
      <c r="C115" s="186" t="s">
        <v>303</v>
      </c>
      <c r="D115" s="173" t="s">
        <v>27</v>
      </c>
      <c r="E115" s="47">
        <v>5</v>
      </c>
      <c r="F115" s="47"/>
      <c r="G115" s="47"/>
      <c r="H115" s="47"/>
      <c r="I115" s="47"/>
      <c r="J115" s="47"/>
      <c r="K115" s="54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2" s="53" customFormat="1">
      <c r="A116" s="48" t="s">
        <v>378</v>
      </c>
      <c r="B116" s="48"/>
      <c r="C116" s="186" t="s">
        <v>65</v>
      </c>
      <c r="D116" s="173" t="s">
        <v>27</v>
      </c>
      <c r="E116" s="47">
        <v>1</v>
      </c>
      <c r="F116" s="47"/>
      <c r="G116" s="47"/>
      <c r="H116" s="47"/>
      <c r="I116" s="47"/>
      <c r="J116" s="47"/>
      <c r="K116" s="54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2" s="53" customFormat="1">
      <c r="A117" s="48" t="s">
        <v>379</v>
      </c>
      <c r="B117" s="48"/>
      <c r="C117" s="186" t="s">
        <v>636</v>
      </c>
      <c r="D117" s="173" t="s">
        <v>27</v>
      </c>
      <c r="E117" s="47">
        <v>1</v>
      </c>
      <c r="F117" s="47"/>
      <c r="G117" s="47"/>
      <c r="H117" s="47"/>
      <c r="I117" s="47"/>
      <c r="J117" s="47"/>
      <c r="K117" s="54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2" s="53" customFormat="1">
      <c r="A118" s="48" t="s">
        <v>385</v>
      </c>
      <c r="B118" s="48"/>
      <c r="C118" s="186" t="s">
        <v>625</v>
      </c>
      <c r="D118" s="173" t="s">
        <v>27</v>
      </c>
      <c r="E118" s="47">
        <v>1</v>
      </c>
      <c r="F118" s="47"/>
      <c r="G118" s="47"/>
      <c r="H118" s="47"/>
      <c r="I118" s="47"/>
      <c r="J118" s="47"/>
      <c r="K118" s="54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2" s="53" customFormat="1">
      <c r="A119" s="48" t="s">
        <v>391</v>
      </c>
      <c r="B119" s="48"/>
      <c r="C119" s="186" t="s">
        <v>626</v>
      </c>
      <c r="D119" s="173" t="s">
        <v>27</v>
      </c>
      <c r="E119" s="47">
        <v>1</v>
      </c>
      <c r="F119" s="47"/>
      <c r="G119" s="47"/>
      <c r="H119" s="47"/>
      <c r="I119" s="47"/>
      <c r="J119" s="47"/>
      <c r="K119" s="54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1:22" s="53" customFormat="1">
      <c r="A120" s="48" t="s">
        <v>392</v>
      </c>
      <c r="B120" s="48"/>
      <c r="C120" s="186" t="s">
        <v>627</v>
      </c>
      <c r="D120" s="173" t="s">
        <v>27</v>
      </c>
      <c r="E120" s="47">
        <v>1</v>
      </c>
      <c r="F120" s="47"/>
      <c r="G120" s="47"/>
      <c r="H120" s="47"/>
      <c r="I120" s="47"/>
      <c r="J120" s="47"/>
      <c r="K120" s="54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1:22">
      <c r="A121" s="479" t="s">
        <v>139</v>
      </c>
      <c r="B121" s="480"/>
      <c r="C121" s="480"/>
      <c r="D121" s="480"/>
      <c r="E121" s="480"/>
      <c r="F121" s="480"/>
      <c r="G121" s="480"/>
      <c r="H121" s="480"/>
      <c r="I121" s="481"/>
      <c r="J121" s="23"/>
      <c r="K121" s="39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2" s="74" customFormat="1">
      <c r="A122" s="70" t="s">
        <v>113</v>
      </c>
      <c r="B122" s="477" t="s">
        <v>114</v>
      </c>
      <c r="C122" s="478"/>
      <c r="D122" s="478"/>
      <c r="E122" s="478"/>
      <c r="F122" s="478"/>
      <c r="G122" s="478"/>
      <c r="H122" s="478"/>
      <c r="I122" s="478"/>
      <c r="J122" s="478"/>
      <c r="K122" s="478"/>
      <c r="L122" s="78"/>
      <c r="M122" s="73"/>
      <c r="N122" s="73"/>
      <c r="O122" s="73"/>
      <c r="P122" s="73"/>
      <c r="Q122" s="73"/>
      <c r="R122" s="73"/>
      <c r="S122" s="73"/>
      <c r="T122" s="73"/>
      <c r="U122" s="73"/>
      <c r="V122" s="73"/>
    </row>
    <row r="123" spans="1:22" s="154" customFormat="1" ht="14.25">
      <c r="A123" s="124" t="s">
        <v>115</v>
      </c>
      <c r="B123" s="180">
        <v>72075</v>
      </c>
      <c r="C123" s="183" t="s">
        <v>342</v>
      </c>
      <c r="D123" s="182" t="s">
        <v>29</v>
      </c>
      <c r="E123" s="117">
        <f>E137+E140</f>
        <v>307.10899999999998</v>
      </c>
      <c r="F123" s="183"/>
      <c r="G123" s="47"/>
      <c r="H123" s="183"/>
      <c r="I123" s="47"/>
      <c r="J123" s="47"/>
      <c r="K123" s="47"/>
      <c r="L123" s="120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</row>
    <row r="124" spans="1:22" s="74" customFormat="1">
      <c r="A124" s="462" t="s">
        <v>117</v>
      </c>
      <c r="B124" s="463"/>
      <c r="C124" s="463"/>
      <c r="D124" s="463"/>
      <c r="E124" s="463"/>
      <c r="F124" s="463"/>
      <c r="G124" s="463"/>
      <c r="H124" s="463"/>
      <c r="I124" s="464"/>
      <c r="J124" s="23"/>
      <c r="K124" s="23"/>
      <c r="L124" s="79"/>
      <c r="M124" s="73"/>
      <c r="N124" s="73"/>
      <c r="O124" s="73"/>
      <c r="P124" s="73"/>
      <c r="Q124" s="73"/>
      <c r="R124" s="73"/>
      <c r="S124" s="73"/>
      <c r="T124" s="73"/>
      <c r="U124" s="73"/>
      <c r="V124" s="73"/>
    </row>
    <row r="125" spans="1:22">
      <c r="A125" s="60" t="s">
        <v>140</v>
      </c>
      <c r="B125" s="458" t="s">
        <v>118</v>
      </c>
      <c r="C125" s="459"/>
      <c r="D125" s="459"/>
      <c r="E125" s="459"/>
      <c r="F125" s="459"/>
      <c r="G125" s="459"/>
      <c r="H125" s="459"/>
      <c r="I125" s="459"/>
      <c r="J125" s="459"/>
      <c r="K125" s="473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1:22" s="53" customFormat="1">
      <c r="A126" s="96" t="s">
        <v>380</v>
      </c>
      <c r="B126" s="96"/>
      <c r="C126" s="62" t="s">
        <v>304</v>
      </c>
      <c r="D126" s="63" t="s">
        <v>27</v>
      </c>
      <c r="E126" s="95">
        <v>1</v>
      </c>
      <c r="F126" s="64"/>
      <c r="G126" s="140"/>
      <c r="H126" s="140"/>
      <c r="I126" s="140"/>
      <c r="J126" s="140"/>
      <c r="K126" s="2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22" s="53" customFormat="1">
      <c r="A127" s="96" t="s">
        <v>381</v>
      </c>
      <c r="B127" s="96"/>
      <c r="C127" s="62" t="s">
        <v>305</v>
      </c>
      <c r="D127" s="63" t="s">
        <v>27</v>
      </c>
      <c r="E127" s="95">
        <v>1</v>
      </c>
      <c r="F127" s="64"/>
      <c r="G127" s="140"/>
      <c r="H127" s="140"/>
      <c r="I127" s="140"/>
      <c r="J127" s="140"/>
      <c r="K127" s="21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1:22" s="53" customFormat="1">
      <c r="A128" s="96" t="s">
        <v>384</v>
      </c>
      <c r="B128" s="96"/>
      <c r="C128" s="139" t="s">
        <v>310</v>
      </c>
      <c r="D128" s="63" t="s">
        <v>27</v>
      </c>
      <c r="E128" s="47">
        <v>1</v>
      </c>
      <c r="F128" s="25"/>
      <c r="G128" s="140"/>
      <c r="H128" s="25"/>
      <c r="I128" s="140"/>
      <c r="J128" s="140"/>
      <c r="K128" s="21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1">
      <c r="A129" s="479" t="s">
        <v>141</v>
      </c>
      <c r="B129" s="480"/>
      <c r="C129" s="480"/>
      <c r="D129" s="480"/>
      <c r="E129" s="480"/>
      <c r="F129" s="480"/>
      <c r="G129" s="480"/>
      <c r="H129" s="480"/>
      <c r="I129" s="481"/>
      <c r="J129" s="23"/>
      <c r="K129" s="39"/>
    </row>
    <row r="130" spans="1:21">
      <c r="A130" s="60" t="s">
        <v>142</v>
      </c>
      <c r="B130" s="458" t="s">
        <v>7</v>
      </c>
      <c r="C130" s="459"/>
      <c r="D130" s="459"/>
      <c r="E130" s="459"/>
      <c r="F130" s="459"/>
      <c r="G130" s="459"/>
      <c r="H130" s="459"/>
      <c r="I130" s="459"/>
      <c r="J130" s="459"/>
      <c r="K130" s="473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1:21" s="53" customFormat="1" ht="24.75">
      <c r="A131" s="48" t="s">
        <v>143</v>
      </c>
      <c r="B131" s="197">
        <v>5974</v>
      </c>
      <c r="C131" s="58" t="s">
        <v>209</v>
      </c>
      <c r="D131" s="50" t="s">
        <v>29</v>
      </c>
      <c r="E131" s="47">
        <f>(E53+E54)*2</f>
        <v>379.01699999999994</v>
      </c>
      <c r="F131" s="47"/>
      <c r="G131" s="47"/>
      <c r="H131" s="47"/>
      <c r="I131" s="47"/>
      <c r="J131" s="47"/>
      <c r="K131" s="47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1:21" s="53" customFormat="1" ht="24.75">
      <c r="A132" s="48" t="s">
        <v>144</v>
      </c>
      <c r="B132" s="197">
        <v>5975</v>
      </c>
      <c r="C132" s="58" t="s">
        <v>210</v>
      </c>
      <c r="D132" s="50" t="s">
        <v>29</v>
      </c>
      <c r="E132" s="47">
        <f>E13-(13.75*4)</f>
        <v>58.290000000000006</v>
      </c>
      <c r="F132" s="47"/>
      <c r="G132" s="47"/>
      <c r="H132" s="47"/>
      <c r="I132" s="47"/>
      <c r="J132" s="47"/>
      <c r="K132" s="47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1:21" s="53" customFormat="1" ht="24.75">
      <c r="A133" s="48" t="s">
        <v>145</v>
      </c>
      <c r="B133" s="197">
        <v>5982</v>
      </c>
      <c r="C133" s="58" t="s">
        <v>211</v>
      </c>
      <c r="D133" s="50" t="s">
        <v>29</v>
      </c>
      <c r="E133" s="47">
        <f>E132</f>
        <v>58.290000000000006</v>
      </c>
      <c r="F133" s="47"/>
      <c r="G133" s="47"/>
      <c r="H133" s="47"/>
      <c r="I133" s="47"/>
      <c r="J133" s="47"/>
      <c r="K133" s="47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1:21" s="53" customFormat="1" ht="24.75">
      <c r="A134" s="48" t="s">
        <v>146</v>
      </c>
      <c r="B134" s="197">
        <v>5992</v>
      </c>
      <c r="C134" s="58" t="s">
        <v>212</v>
      </c>
      <c r="D134" s="50" t="s">
        <v>29</v>
      </c>
      <c r="E134" s="47">
        <f>E131</f>
        <v>379.01699999999994</v>
      </c>
      <c r="F134" s="47"/>
      <c r="G134" s="47"/>
      <c r="H134" s="47"/>
      <c r="I134" s="47"/>
      <c r="J134" s="47"/>
      <c r="K134" s="47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1" s="53" customFormat="1" ht="15" customHeight="1">
      <c r="A135" s="48" t="s">
        <v>147</v>
      </c>
      <c r="B135" s="335">
        <v>9536</v>
      </c>
      <c r="C135" s="336" t="s">
        <v>507</v>
      </c>
      <c r="D135" s="337" t="s">
        <v>29</v>
      </c>
      <c r="E135" s="289">
        <f>2*4.2</f>
        <v>8.4</v>
      </c>
      <c r="F135" s="117"/>
      <c r="G135" s="117"/>
      <c r="H135" s="117"/>
      <c r="I135" s="117"/>
      <c r="J135" s="117"/>
      <c r="K135" s="47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1:21" s="53" customFormat="1" ht="15" customHeight="1">
      <c r="A136" s="48" t="s">
        <v>148</v>
      </c>
      <c r="B136" s="297" t="s">
        <v>840</v>
      </c>
      <c r="C136" s="296" t="s">
        <v>841</v>
      </c>
      <c r="D136" s="298" t="s">
        <v>29</v>
      </c>
      <c r="E136" s="295">
        <v>98.24</v>
      </c>
      <c r="F136" s="117"/>
      <c r="G136" s="117"/>
      <c r="H136" s="117"/>
      <c r="I136" s="117"/>
      <c r="J136" s="117"/>
      <c r="K136" s="47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1:21" s="53" customFormat="1" ht="24.75">
      <c r="A137" s="48" t="s">
        <v>149</v>
      </c>
      <c r="B137" s="338" t="s">
        <v>269</v>
      </c>
      <c r="C137" s="299" t="s">
        <v>270</v>
      </c>
      <c r="D137" s="339" t="s">
        <v>29</v>
      </c>
      <c r="E137" s="220">
        <f>E13*1.1</f>
        <v>124.61900000000001</v>
      </c>
      <c r="F137" s="47"/>
      <c r="G137" s="47"/>
      <c r="H137" s="47"/>
      <c r="I137" s="47"/>
      <c r="J137" s="47"/>
      <c r="K137" s="47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1:21" s="53" customFormat="1">
      <c r="A138" s="48" t="s">
        <v>150</v>
      </c>
      <c r="B138" s="197" t="s">
        <v>217</v>
      </c>
      <c r="C138" s="193" t="s">
        <v>218</v>
      </c>
      <c r="D138" s="50" t="s">
        <v>28</v>
      </c>
      <c r="E138" s="47">
        <f>1.5*1.1</f>
        <v>1.6500000000000001</v>
      </c>
      <c r="F138" s="47"/>
      <c r="G138" s="47"/>
      <c r="H138" s="47"/>
      <c r="I138" s="47"/>
      <c r="J138" s="47"/>
      <c r="K138" s="47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21" s="53" customFormat="1">
      <c r="A139" s="48" t="s">
        <v>382</v>
      </c>
      <c r="B139" s="197" t="s">
        <v>219</v>
      </c>
      <c r="C139" s="194" t="s">
        <v>220</v>
      </c>
      <c r="D139" s="50" t="s">
        <v>28</v>
      </c>
      <c r="E139" s="47">
        <f>((1.8*1)+(0.8*4)+(0.8*4))*1.1</f>
        <v>9.02</v>
      </c>
      <c r="F139" s="47"/>
      <c r="G139" s="47"/>
      <c r="H139" s="47"/>
      <c r="I139" s="47"/>
      <c r="J139" s="47"/>
      <c r="K139" s="47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21" s="53" customFormat="1" ht="24.75">
      <c r="A140" s="48" t="s">
        <v>383</v>
      </c>
      <c r="B140" s="197" t="s">
        <v>269</v>
      </c>
      <c r="C140" s="300" t="s">
        <v>694</v>
      </c>
      <c r="D140" s="50" t="s">
        <v>29</v>
      </c>
      <c r="E140" s="295">
        <f>(1.4*((10*4)+(16*4)+14.5))*1.1</f>
        <v>182.48999999999998</v>
      </c>
      <c r="F140" s="47"/>
      <c r="G140" s="47"/>
      <c r="H140" s="47"/>
      <c r="I140" s="47"/>
      <c r="J140" s="47"/>
      <c r="K140" s="47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21">
      <c r="A141" s="479" t="s">
        <v>151</v>
      </c>
      <c r="B141" s="480"/>
      <c r="C141" s="480"/>
      <c r="D141" s="480"/>
      <c r="E141" s="480"/>
      <c r="F141" s="480"/>
      <c r="G141" s="480"/>
      <c r="H141" s="480"/>
      <c r="I141" s="481"/>
      <c r="J141" s="22"/>
      <c r="K141" s="22"/>
      <c r="L141" s="77"/>
      <c r="M141" s="11"/>
      <c r="N141" s="11"/>
      <c r="O141" s="11"/>
      <c r="P141" s="11"/>
      <c r="Q141" s="11"/>
      <c r="R141" s="11"/>
      <c r="S141" s="11"/>
      <c r="T141" s="11"/>
    </row>
    <row r="142" spans="1:21" s="74" customFormat="1">
      <c r="A142" s="70" t="s">
        <v>132</v>
      </c>
      <c r="B142" s="448" t="s">
        <v>133</v>
      </c>
      <c r="C142" s="449"/>
      <c r="D142" s="449"/>
      <c r="E142" s="449"/>
      <c r="F142" s="449"/>
      <c r="G142" s="449"/>
      <c r="H142" s="449"/>
      <c r="I142" s="449"/>
      <c r="J142" s="449"/>
      <c r="K142" s="449"/>
      <c r="L142" s="78"/>
      <c r="M142" s="73"/>
      <c r="N142" s="73"/>
      <c r="O142" s="73"/>
      <c r="P142" s="73"/>
      <c r="Q142" s="73"/>
      <c r="R142" s="73"/>
      <c r="S142" s="73"/>
      <c r="T142" s="73"/>
      <c r="U142" s="73"/>
    </row>
    <row r="143" spans="1:21" s="74" customFormat="1">
      <c r="A143" s="80" t="s">
        <v>134</v>
      </c>
      <c r="B143" s="211">
        <v>72116</v>
      </c>
      <c r="C143" s="200" t="s">
        <v>540</v>
      </c>
      <c r="D143" s="92" t="s">
        <v>29</v>
      </c>
      <c r="E143" s="47">
        <f>0.6*0.6*4</f>
        <v>1.44</v>
      </c>
      <c r="F143" s="47"/>
      <c r="G143" s="47"/>
      <c r="H143" s="47"/>
      <c r="I143" s="47"/>
      <c r="J143" s="47"/>
      <c r="K143" s="47"/>
      <c r="L143" s="78"/>
      <c r="M143" s="73"/>
      <c r="N143" s="73"/>
      <c r="O143" s="73"/>
      <c r="P143" s="73"/>
      <c r="Q143" s="73"/>
      <c r="R143" s="73"/>
      <c r="S143" s="73"/>
      <c r="T143" s="73"/>
      <c r="U143" s="73"/>
    </row>
    <row r="144" spans="1:21" s="81" customFormat="1">
      <c r="A144" s="80" t="s">
        <v>135</v>
      </c>
      <c r="B144" s="211">
        <v>72116</v>
      </c>
      <c r="C144" s="200" t="s">
        <v>271</v>
      </c>
      <c r="D144" s="92" t="s">
        <v>29</v>
      </c>
      <c r="E144" s="47">
        <f>1.5*1.2</f>
        <v>1.7999999999999998</v>
      </c>
      <c r="F144" s="47"/>
      <c r="G144" s="47"/>
      <c r="H144" s="47"/>
      <c r="I144" s="47"/>
      <c r="J144" s="47"/>
      <c r="K144" s="47"/>
      <c r="L144" s="78"/>
      <c r="M144" s="73"/>
      <c r="N144" s="73"/>
      <c r="O144" s="73"/>
      <c r="P144" s="73"/>
      <c r="Q144" s="73"/>
      <c r="R144" s="73"/>
      <c r="S144" s="73"/>
      <c r="T144" s="73"/>
      <c r="U144" s="73"/>
    </row>
    <row r="145" spans="1:22" s="74" customFormat="1">
      <c r="A145" s="450" t="s">
        <v>137</v>
      </c>
      <c r="B145" s="451"/>
      <c r="C145" s="451"/>
      <c r="D145" s="451"/>
      <c r="E145" s="451"/>
      <c r="F145" s="451"/>
      <c r="G145" s="451"/>
      <c r="H145" s="451"/>
      <c r="I145" s="452"/>
      <c r="J145" s="22"/>
      <c r="K145" s="22"/>
      <c r="L145" s="79"/>
      <c r="M145" s="73"/>
      <c r="N145" s="73"/>
      <c r="O145" s="73"/>
      <c r="P145" s="73"/>
      <c r="Q145" s="73"/>
      <c r="R145" s="73"/>
      <c r="S145" s="73"/>
      <c r="T145" s="73"/>
      <c r="U145" s="73"/>
    </row>
    <row r="146" spans="1:22" s="53" customFormat="1">
      <c r="A146" s="60" t="s">
        <v>152</v>
      </c>
      <c r="B146" s="453" t="s">
        <v>67</v>
      </c>
      <c r="C146" s="454"/>
      <c r="D146" s="454"/>
      <c r="E146" s="454"/>
      <c r="F146" s="454"/>
      <c r="G146" s="454"/>
      <c r="H146" s="454"/>
      <c r="I146" s="454"/>
      <c r="J146" s="454"/>
      <c r="K146" s="455"/>
      <c r="L146" s="77"/>
      <c r="M146" s="11"/>
      <c r="N146" s="11"/>
      <c r="O146" s="11"/>
      <c r="P146" s="11"/>
      <c r="Q146" s="11"/>
      <c r="R146" s="11"/>
      <c r="S146" s="11"/>
      <c r="T146" s="11"/>
    </row>
    <row r="147" spans="1:22" s="53" customFormat="1">
      <c r="A147" s="48" t="s">
        <v>153</v>
      </c>
      <c r="B147" s="195" t="s">
        <v>234</v>
      </c>
      <c r="C147" s="76" t="s">
        <v>235</v>
      </c>
      <c r="D147" s="50" t="s">
        <v>29</v>
      </c>
      <c r="E147" s="47">
        <f>E131+E132-(E140/1.1)</f>
        <v>271.40699999999998</v>
      </c>
      <c r="F147" s="47"/>
      <c r="G147" s="47"/>
      <c r="H147" s="47"/>
      <c r="I147" s="47"/>
      <c r="J147" s="47"/>
      <c r="K147" s="47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1:22" s="53" customFormat="1">
      <c r="A148" s="48" t="s">
        <v>154</v>
      </c>
      <c r="B148" s="195" t="s">
        <v>236</v>
      </c>
      <c r="C148" s="76" t="s">
        <v>237</v>
      </c>
      <c r="D148" s="50" t="s">
        <v>29</v>
      </c>
      <c r="E148" s="47">
        <f>E147</f>
        <v>271.40699999999998</v>
      </c>
      <c r="F148" s="47"/>
      <c r="G148" s="47"/>
      <c r="H148" s="47"/>
      <c r="I148" s="47"/>
      <c r="J148" s="47"/>
      <c r="K148" s="47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1:22" s="53" customFormat="1">
      <c r="A149" s="48" t="s">
        <v>155</v>
      </c>
      <c r="B149" s="166" t="s">
        <v>509</v>
      </c>
      <c r="C149" s="76" t="s">
        <v>510</v>
      </c>
      <c r="D149" s="165" t="s">
        <v>29</v>
      </c>
      <c r="E149" s="117">
        <f>E135*1.15</f>
        <v>9.66</v>
      </c>
      <c r="F149" s="117"/>
      <c r="G149" s="117"/>
      <c r="H149" s="117"/>
      <c r="I149" s="117"/>
      <c r="J149" s="117"/>
      <c r="K149" s="47"/>
      <c r="L149" s="11"/>
      <c r="M149" s="11"/>
      <c r="N149" s="11"/>
      <c r="O149" s="11"/>
      <c r="P149" s="11"/>
      <c r="Q149" s="11"/>
      <c r="R149" s="11"/>
      <c r="S149" s="11"/>
      <c r="T149" s="11"/>
    </row>
    <row r="150" spans="1:22" s="53" customFormat="1">
      <c r="A150" s="479" t="s">
        <v>156</v>
      </c>
      <c r="B150" s="480"/>
      <c r="C150" s="480"/>
      <c r="D150" s="480"/>
      <c r="E150" s="480"/>
      <c r="F150" s="480"/>
      <c r="G150" s="480"/>
      <c r="H150" s="480"/>
      <c r="I150" s="481"/>
      <c r="J150" s="23"/>
      <c r="K150" s="23"/>
      <c r="L150" s="77"/>
      <c r="M150" s="11"/>
      <c r="N150" s="11"/>
      <c r="O150" s="11"/>
      <c r="P150" s="11"/>
      <c r="Q150" s="11"/>
      <c r="R150" s="11"/>
      <c r="S150" s="11"/>
      <c r="T150" s="11"/>
    </row>
    <row r="151" spans="1:22" s="74" customFormat="1">
      <c r="A151" s="70" t="s">
        <v>158</v>
      </c>
      <c r="B151" s="477" t="s">
        <v>120</v>
      </c>
      <c r="C151" s="478"/>
      <c r="D151" s="478"/>
      <c r="E151" s="478"/>
      <c r="F151" s="478"/>
      <c r="G151" s="478"/>
      <c r="H151" s="478"/>
      <c r="I151" s="478"/>
      <c r="J151" s="478"/>
      <c r="K151" s="478"/>
      <c r="L151" s="78"/>
      <c r="M151" s="73"/>
      <c r="N151" s="73"/>
      <c r="O151" s="73"/>
      <c r="P151" s="73"/>
      <c r="Q151" s="73"/>
      <c r="R151" s="73"/>
      <c r="S151" s="73"/>
      <c r="T151" s="73"/>
      <c r="U151" s="73"/>
      <c r="V151" s="73"/>
    </row>
    <row r="152" spans="1:22" s="74" customFormat="1">
      <c r="A152" s="70" t="s">
        <v>157</v>
      </c>
      <c r="B152" s="241" t="s">
        <v>440</v>
      </c>
      <c r="C152" s="122" t="s">
        <v>531</v>
      </c>
      <c r="D152" s="123" t="s">
        <v>29</v>
      </c>
      <c r="E152" s="117">
        <f>159.36-106.56</f>
        <v>52.800000000000011</v>
      </c>
      <c r="F152" s="242"/>
      <c r="G152" s="117"/>
      <c r="H152" s="117"/>
      <c r="I152" s="117"/>
      <c r="J152" s="117"/>
      <c r="K152" s="117"/>
      <c r="L152" s="78"/>
      <c r="M152" s="73"/>
      <c r="N152" s="73"/>
      <c r="O152" s="73"/>
      <c r="P152" s="73"/>
      <c r="Q152" s="73"/>
      <c r="R152" s="73"/>
      <c r="S152" s="73"/>
      <c r="T152" s="73"/>
      <c r="U152" s="73"/>
      <c r="V152" s="73"/>
    </row>
    <row r="153" spans="1:22" s="74" customFormat="1">
      <c r="A153" s="70" t="s">
        <v>159</v>
      </c>
      <c r="B153" s="249" t="s">
        <v>707</v>
      </c>
      <c r="C153" s="250" t="s">
        <v>733</v>
      </c>
      <c r="D153" s="123" t="s">
        <v>28</v>
      </c>
      <c r="E153" s="117">
        <v>90.3</v>
      </c>
      <c r="F153" s="242">
        <f>Geral!F248</f>
        <v>0</v>
      </c>
      <c r="G153" s="117"/>
      <c r="H153" s="117">
        <f>Geral!H248</f>
        <v>0</v>
      </c>
      <c r="I153" s="117"/>
      <c r="J153" s="117"/>
      <c r="K153" s="117"/>
      <c r="L153" s="78"/>
      <c r="M153" s="73"/>
      <c r="N153" s="73"/>
      <c r="O153" s="73"/>
      <c r="P153" s="73"/>
      <c r="Q153" s="73"/>
      <c r="R153" s="73"/>
      <c r="S153" s="73"/>
      <c r="T153" s="73"/>
      <c r="U153" s="73"/>
      <c r="V153" s="73"/>
    </row>
    <row r="154" spans="1:22" s="74" customFormat="1">
      <c r="A154" s="462" t="s">
        <v>161</v>
      </c>
      <c r="B154" s="463"/>
      <c r="C154" s="463"/>
      <c r="D154" s="463"/>
      <c r="E154" s="463"/>
      <c r="F154" s="463"/>
      <c r="G154" s="463"/>
      <c r="H154" s="463"/>
      <c r="I154" s="464"/>
      <c r="J154" s="23"/>
      <c r="K154" s="23"/>
      <c r="L154" s="79"/>
      <c r="M154" s="73"/>
      <c r="N154" s="73"/>
      <c r="O154" s="73"/>
      <c r="P154" s="73"/>
      <c r="Q154" s="73"/>
      <c r="R154" s="73"/>
      <c r="S154" s="73"/>
      <c r="T154" s="73"/>
      <c r="U154" s="73"/>
      <c r="V154" s="73"/>
    </row>
    <row r="155" spans="1:22">
      <c r="A155" s="60" t="s">
        <v>119</v>
      </c>
      <c r="B155" s="458" t="s">
        <v>25</v>
      </c>
      <c r="C155" s="459"/>
      <c r="D155" s="459"/>
      <c r="E155" s="459"/>
      <c r="F155" s="459"/>
      <c r="G155" s="459"/>
      <c r="H155" s="459"/>
      <c r="I155" s="459"/>
      <c r="J155" s="459"/>
      <c r="K155" s="459"/>
      <c r="L155" s="83"/>
    </row>
    <row r="156" spans="1:22" s="53" customFormat="1">
      <c r="A156" s="48" t="s">
        <v>121</v>
      </c>
      <c r="B156" s="197">
        <v>9537</v>
      </c>
      <c r="C156" s="11" t="s">
        <v>239</v>
      </c>
      <c r="D156" s="50" t="s">
        <v>29</v>
      </c>
      <c r="E156" s="295">
        <f>E13</f>
        <v>113.29</v>
      </c>
      <c r="F156" s="47"/>
      <c r="G156" s="47"/>
      <c r="H156" s="47"/>
      <c r="I156" s="47"/>
      <c r="J156" s="47"/>
      <c r="K156" s="47"/>
    </row>
    <row r="157" spans="1:22">
      <c r="A157" s="479" t="s">
        <v>124</v>
      </c>
      <c r="B157" s="480"/>
      <c r="C157" s="480"/>
      <c r="D157" s="480"/>
      <c r="E157" s="480"/>
      <c r="F157" s="480"/>
      <c r="G157" s="480"/>
      <c r="H157" s="480"/>
      <c r="I157" s="481"/>
      <c r="J157" s="23"/>
      <c r="K157" s="39"/>
    </row>
    <row r="158" spans="1:22" s="26" customFormat="1">
      <c r="A158" s="20"/>
      <c r="B158" s="75"/>
      <c r="C158" s="460"/>
      <c r="D158" s="460"/>
      <c r="E158" s="460"/>
      <c r="F158" s="460"/>
      <c r="G158" s="460"/>
      <c r="H158" s="460"/>
      <c r="I158" s="460"/>
      <c r="J158" s="460"/>
      <c r="K158" s="461"/>
    </row>
    <row r="159" spans="1:22" s="69" customFormat="1" ht="15.75">
      <c r="A159" s="445" t="s">
        <v>14</v>
      </c>
      <c r="B159" s="446"/>
      <c r="C159" s="446"/>
      <c r="D159" s="446"/>
      <c r="E159" s="446"/>
      <c r="F159" s="446"/>
      <c r="G159" s="446"/>
      <c r="H159" s="446"/>
      <c r="I159" s="447"/>
      <c r="J159" s="68"/>
      <c r="K159" s="68"/>
    </row>
    <row r="161" spans="1:10">
      <c r="H161" s="43"/>
      <c r="I161" s="12"/>
    </row>
    <row r="162" spans="1:10">
      <c r="I162" s="31"/>
    </row>
    <row r="164" spans="1:10">
      <c r="A164" s="28"/>
      <c r="B164" s="28"/>
      <c r="C164" s="28"/>
      <c r="D164" s="29"/>
      <c r="E164" s="30"/>
      <c r="F164" s="28"/>
      <c r="G164" s="28"/>
      <c r="H164" s="28"/>
      <c r="I164" s="28"/>
      <c r="J164" s="28"/>
    </row>
    <row r="165" spans="1:10">
      <c r="A165" s="28"/>
      <c r="B165" s="28"/>
      <c r="C165" s="28"/>
      <c r="D165" s="29"/>
      <c r="E165" s="30"/>
      <c r="F165" s="28"/>
      <c r="G165" s="30"/>
      <c r="H165" s="28"/>
      <c r="I165" s="30"/>
      <c r="J165" s="30"/>
    </row>
    <row r="166" spans="1:10">
      <c r="A166" s="28"/>
      <c r="B166" s="28"/>
      <c r="C166" s="28"/>
      <c r="D166" s="29"/>
      <c r="E166" s="30"/>
      <c r="F166" s="28"/>
      <c r="G166" s="30"/>
      <c r="H166" s="28"/>
      <c r="I166" s="30"/>
      <c r="J166" s="30"/>
    </row>
    <row r="167" spans="1:10">
      <c r="A167" s="28"/>
      <c r="B167" s="28"/>
      <c r="C167" s="28"/>
      <c r="D167" s="29"/>
      <c r="E167" s="30"/>
      <c r="F167" s="28"/>
      <c r="G167" s="30"/>
      <c r="H167" s="28"/>
      <c r="I167" s="30"/>
      <c r="J167" s="30"/>
    </row>
    <row r="168" spans="1:10">
      <c r="A168" s="28"/>
      <c r="B168" s="28"/>
      <c r="C168" s="28"/>
      <c r="D168" s="29"/>
      <c r="E168" s="30"/>
      <c r="F168" s="28"/>
      <c r="G168" s="30"/>
      <c r="H168" s="28"/>
      <c r="I168" s="30"/>
      <c r="J168" s="30"/>
    </row>
    <row r="169" spans="1:10">
      <c r="A169" s="28"/>
      <c r="B169" s="28"/>
      <c r="C169" s="28"/>
      <c r="D169" s="29"/>
      <c r="E169" s="30"/>
      <c r="F169" s="28"/>
      <c r="G169" s="30"/>
      <c r="H169" s="28"/>
      <c r="I169" s="30"/>
      <c r="J169" s="30"/>
    </row>
    <row r="170" spans="1:10">
      <c r="A170" s="28"/>
      <c r="B170" s="28"/>
      <c r="C170" s="28"/>
      <c r="D170" s="29"/>
      <c r="E170" s="30"/>
      <c r="F170" s="28"/>
      <c r="G170" s="30"/>
      <c r="H170" s="28"/>
      <c r="I170" s="30"/>
      <c r="J170" s="30"/>
    </row>
    <row r="171" spans="1:10">
      <c r="A171" s="28"/>
      <c r="B171" s="28"/>
      <c r="C171" s="28"/>
      <c r="D171" s="29"/>
      <c r="E171" s="30"/>
      <c r="F171" s="28"/>
      <c r="G171" s="30"/>
      <c r="H171" s="28"/>
      <c r="I171" s="30"/>
      <c r="J171" s="30"/>
    </row>
    <row r="172" spans="1:10">
      <c r="A172" s="28"/>
      <c r="B172" s="28"/>
      <c r="C172" s="28"/>
      <c r="D172" s="29"/>
      <c r="E172" s="30"/>
      <c r="F172" s="28"/>
      <c r="G172" s="30"/>
      <c r="H172" s="28"/>
      <c r="I172" s="30"/>
      <c r="J172" s="30"/>
    </row>
    <row r="173" spans="1:10">
      <c r="A173" s="31"/>
      <c r="B173" s="31"/>
      <c r="C173" s="31"/>
      <c r="D173" s="32"/>
      <c r="E173" s="45"/>
      <c r="F173" s="31"/>
      <c r="G173" s="31"/>
      <c r="H173" s="31"/>
      <c r="I173" s="31"/>
      <c r="J173" s="31"/>
    </row>
    <row r="174" spans="1:10">
      <c r="A174" s="28"/>
      <c r="B174" s="28"/>
      <c r="C174" s="28"/>
      <c r="D174" s="29"/>
      <c r="E174" s="30"/>
      <c r="F174" s="28"/>
      <c r="G174" s="30"/>
      <c r="H174" s="28"/>
      <c r="I174" s="30"/>
      <c r="J174" s="30"/>
    </row>
    <row r="175" spans="1:10">
      <c r="A175" s="28"/>
      <c r="B175" s="28"/>
      <c r="C175" s="28"/>
      <c r="D175" s="29"/>
      <c r="E175" s="30"/>
      <c r="F175" s="28"/>
      <c r="G175" s="30"/>
      <c r="H175" s="28"/>
      <c r="I175" s="30"/>
      <c r="J175" s="30"/>
    </row>
    <row r="176" spans="1:10">
      <c r="A176" s="28"/>
      <c r="B176" s="28"/>
      <c r="C176" s="28"/>
      <c r="D176" s="29"/>
      <c r="E176" s="30"/>
      <c r="F176" s="30"/>
      <c r="G176" s="30"/>
      <c r="H176" s="28"/>
      <c r="I176" s="30"/>
      <c r="J176" s="30"/>
    </row>
    <row r="177" spans="1:11">
      <c r="A177" s="28"/>
      <c r="B177" s="28"/>
      <c r="C177" s="28"/>
      <c r="D177" s="29"/>
      <c r="E177" s="30"/>
      <c r="F177" s="30"/>
      <c r="G177" s="30"/>
      <c r="H177" s="28"/>
      <c r="I177" s="30"/>
      <c r="J177" s="30"/>
    </row>
    <row r="178" spans="1:11">
      <c r="A178" s="28"/>
      <c r="B178" s="28"/>
      <c r="C178" s="28"/>
      <c r="D178" s="29"/>
      <c r="E178" s="30"/>
      <c r="F178" s="30"/>
      <c r="G178" s="30"/>
      <c r="H178" s="28"/>
      <c r="I178" s="30"/>
      <c r="J178" s="30"/>
    </row>
    <row r="179" spans="1:11">
      <c r="A179" s="28"/>
      <c r="B179" s="28"/>
      <c r="C179" s="28"/>
      <c r="D179" s="29"/>
      <c r="E179" s="30"/>
      <c r="F179" s="30"/>
      <c r="G179" s="30"/>
      <c r="H179" s="28"/>
      <c r="I179" s="30"/>
      <c r="J179" s="30"/>
    </row>
    <row r="180" spans="1:11">
      <c r="A180" s="28"/>
      <c r="B180" s="28"/>
      <c r="C180" s="28"/>
      <c r="D180" s="29"/>
      <c r="E180" s="30"/>
      <c r="F180" s="30"/>
      <c r="G180" s="30"/>
      <c r="H180" s="28"/>
      <c r="I180" s="30"/>
      <c r="J180" s="30"/>
    </row>
    <row r="181" spans="1:11">
      <c r="A181" s="28"/>
      <c r="B181" s="28"/>
      <c r="C181" s="28"/>
      <c r="D181" s="29"/>
      <c r="E181" s="30"/>
      <c r="F181" s="30"/>
      <c r="G181" s="30"/>
      <c r="H181" s="28"/>
      <c r="I181" s="30"/>
      <c r="J181" s="30"/>
    </row>
    <row r="182" spans="1:11">
      <c r="A182" s="28"/>
      <c r="B182" s="28"/>
      <c r="C182" s="28"/>
      <c r="D182" s="29"/>
      <c r="E182" s="30"/>
      <c r="F182" s="30"/>
      <c r="G182" s="30"/>
      <c r="H182" s="30"/>
      <c r="I182" s="30"/>
      <c r="J182" s="30"/>
    </row>
    <row r="183" spans="1:11">
      <c r="A183" s="28"/>
      <c r="B183" s="28"/>
      <c r="C183" s="28"/>
      <c r="D183" s="29"/>
      <c r="E183" s="30"/>
      <c r="F183" s="28"/>
      <c r="G183" s="30"/>
      <c r="H183" s="28"/>
      <c r="I183" s="30"/>
      <c r="J183" s="30"/>
    </row>
    <row r="184" spans="1:11">
      <c r="A184" s="28"/>
      <c r="B184" s="28"/>
      <c r="C184" s="28"/>
      <c r="D184" s="29"/>
      <c r="E184" s="30"/>
      <c r="F184" s="30"/>
      <c r="G184" s="30"/>
      <c r="H184" s="28"/>
      <c r="I184" s="30"/>
      <c r="J184" s="30"/>
    </row>
    <row r="185" spans="1:11">
      <c r="A185" s="28"/>
      <c r="B185" s="28"/>
      <c r="C185" s="28"/>
      <c r="D185" s="29"/>
      <c r="E185" s="30"/>
      <c r="F185" s="30"/>
      <c r="G185" s="30"/>
      <c r="H185" s="28"/>
      <c r="I185" s="30"/>
      <c r="J185" s="30"/>
    </row>
    <row r="186" spans="1:11">
      <c r="A186" s="28"/>
      <c r="B186" s="28"/>
      <c r="C186" s="28"/>
      <c r="D186" s="29"/>
      <c r="E186" s="30"/>
      <c r="F186" s="28"/>
      <c r="G186" s="30"/>
      <c r="H186" s="28"/>
      <c r="I186" s="30"/>
      <c r="J186" s="30"/>
      <c r="K186" s="26"/>
    </row>
    <row r="187" spans="1:11">
      <c r="A187" s="33"/>
      <c r="B187" s="33"/>
      <c r="C187" s="34"/>
      <c r="D187" s="35"/>
      <c r="E187" s="46"/>
      <c r="F187" s="33"/>
      <c r="G187" s="30"/>
      <c r="H187" s="33"/>
      <c r="I187" s="30"/>
      <c r="J187" s="30"/>
    </row>
    <row r="188" spans="1:11">
      <c r="A188" s="28"/>
      <c r="B188" s="28"/>
      <c r="C188" s="28"/>
      <c r="D188" s="29"/>
      <c r="E188" s="30"/>
      <c r="F188" s="28"/>
      <c r="G188" s="30"/>
      <c r="H188" s="28"/>
      <c r="I188" s="30"/>
      <c r="J188" s="30"/>
    </row>
    <row r="189" spans="1:11">
      <c r="A189" s="28"/>
      <c r="B189" s="28"/>
      <c r="C189" s="28"/>
      <c r="D189" s="29"/>
      <c r="E189" s="30"/>
      <c r="F189" s="28"/>
      <c r="G189" s="30"/>
      <c r="H189" s="28"/>
      <c r="I189" s="30"/>
      <c r="J189" s="30"/>
    </row>
    <row r="190" spans="1:11">
      <c r="A190" s="28"/>
      <c r="B190" s="28"/>
      <c r="C190" s="28"/>
      <c r="D190" s="29"/>
      <c r="E190" s="30"/>
      <c r="F190" s="28"/>
      <c r="G190" s="30"/>
      <c r="H190" s="28"/>
      <c r="I190" s="30"/>
      <c r="J190" s="30"/>
    </row>
    <row r="191" spans="1:11">
      <c r="A191" s="28"/>
      <c r="B191" s="28"/>
      <c r="C191" s="28"/>
      <c r="D191" s="29"/>
      <c r="E191" s="30"/>
      <c r="F191" s="28"/>
      <c r="G191" s="30"/>
      <c r="H191" s="28"/>
      <c r="I191" s="30"/>
      <c r="J191" s="30"/>
    </row>
    <row r="192" spans="1:11">
      <c r="A192" s="28"/>
      <c r="B192" s="28"/>
      <c r="C192" s="28"/>
      <c r="D192" s="29"/>
      <c r="E192" s="30"/>
      <c r="F192" s="30"/>
      <c r="G192" s="30"/>
      <c r="H192" s="30"/>
      <c r="I192" s="30"/>
      <c r="J192" s="30"/>
    </row>
    <row r="193" spans="1:11">
      <c r="A193" s="31"/>
      <c r="B193" s="31"/>
      <c r="C193" s="31"/>
      <c r="D193" s="32"/>
      <c r="E193" s="45"/>
      <c r="F193" s="31"/>
      <c r="G193" s="31"/>
      <c r="H193" s="31"/>
      <c r="I193" s="31"/>
      <c r="J193" s="31"/>
    </row>
    <row r="194" spans="1:11">
      <c r="A194" s="31"/>
      <c r="B194" s="31"/>
      <c r="C194" s="31"/>
    </row>
    <row r="195" spans="1:11">
      <c r="A195" s="28"/>
      <c r="B195" s="28"/>
      <c r="C195" s="29"/>
      <c r="D195" s="28"/>
      <c r="E195" s="30"/>
      <c r="F195" s="28"/>
      <c r="G195" s="28"/>
      <c r="H195" s="28"/>
      <c r="I195" s="28"/>
      <c r="J195" s="28"/>
      <c r="K195" s="12"/>
    </row>
    <row r="196" spans="1:11">
      <c r="A196" s="28"/>
      <c r="B196" s="28"/>
      <c r="C196" s="28"/>
      <c r="D196" s="29"/>
      <c r="E196" s="30"/>
      <c r="F196" s="30"/>
      <c r="G196" s="30"/>
      <c r="H196" s="30"/>
      <c r="I196" s="30"/>
      <c r="J196" s="30"/>
      <c r="K196" s="28"/>
    </row>
    <row r="197" spans="1:11">
      <c r="A197" s="28"/>
      <c r="B197" s="28"/>
      <c r="C197" s="28"/>
      <c r="D197" s="29"/>
      <c r="E197" s="30"/>
      <c r="F197" s="30"/>
      <c r="G197" s="30"/>
      <c r="H197" s="30"/>
      <c r="I197" s="30"/>
      <c r="J197" s="30"/>
      <c r="K197" s="28"/>
    </row>
    <row r="198" spans="1:11">
      <c r="A198" s="28"/>
      <c r="B198" s="28"/>
      <c r="C198" s="28"/>
      <c r="D198" s="29"/>
      <c r="E198" s="30"/>
      <c r="F198" s="30"/>
      <c r="G198" s="30"/>
      <c r="H198" s="30"/>
      <c r="I198" s="30"/>
      <c r="J198" s="30"/>
      <c r="K198" s="28"/>
    </row>
    <row r="199" spans="1:11">
      <c r="A199" s="28"/>
      <c r="B199" s="28"/>
      <c r="C199" s="28"/>
      <c r="D199" s="29"/>
      <c r="E199" s="30"/>
      <c r="F199" s="30"/>
      <c r="G199" s="30"/>
      <c r="H199" s="30"/>
      <c r="I199" s="30"/>
      <c r="J199" s="30"/>
      <c r="K199" s="28"/>
    </row>
    <row r="200" spans="1:11">
      <c r="A200" s="28"/>
      <c r="B200" s="28"/>
      <c r="C200" s="28"/>
      <c r="D200" s="29"/>
      <c r="E200" s="30"/>
      <c r="F200" s="30"/>
      <c r="G200" s="30"/>
      <c r="H200" s="30"/>
      <c r="I200" s="30"/>
      <c r="J200" s="30"/>
      <c r="K200" s="28"/>
    </row>
    <row r="201" spans="1:11">
      <c r="A201" s="28"/>
      <c r="B201" s="28"/>
      <c r="C201" s="28"/>
      <c r="D201" s="29"/>
      <c r="E201" s="30"/>
      <c r="F201" s="30"/>
      <c r="G201" s="30"/>
      <c r="H201" s="30"/>
      <c r="I201" s="30"/>
      <c r="J201" s="30"/>
      <c r="K201" s="28"/>
    </row>
    <row r="202" spans="1:11">
      <c r="A202" s="28"/>
      <c r="B202" s="28"/>
      <c r="C202" s="28"/>
      <c r="D202" s="29"/>
      <c r="E202" s="30"/>
      <c r="F202" s="30"/>
      <c r="G202" s="30"/>
      <c r="H202" s="30"/>
      <c r="I202" s="30"/>
      <c r="J202" s="30"/>
      <c r="K202" s="28"/>
    </row>
    <row r="203" spans="1:11">
      <c r="A203" s="28"/>
      <c r="B203" s="28"/>
      <c r="C203" s="28"/>
      <c r="D203" s="29"/>
      <c r="E203" s="30"/>
      <c r="F203" s="30"/>
      <c r="G203" s="30"/>
      <c r="H203" s="30"/>
      <c r="I203" s="30"/>
      <c r="J203" s="30"/>
      <c r="K203" s="28"/>
    </row>
    <row r="204" spans="1:11">
      <c r="A204" s="28"/>
      <c r="B204" s="28"/>
      <c r="C204" s="28"/>
      <c r="D204" s="29"/>
      <c r="E204" s="30"/>
      <c r="F204" s="30"/>
      <c r="G204" s="30"/>
      <c r="H204" s="30"/>
      <c r="I204" s="30"/>
      <c r="J204" s="30"/>
      <c r="K204" s="28"/>
    </row>
    <row r="205" spans="1:11">
      <c r="A205" s="28"/>
      <c r="B205" s="28"/>
      <c r="C205" s="28"/>
      <c r="D205" s="29"/>
      <c r="E205" s="30"/>
      <c r="F205" s="30"/>
      <c r="G205" s="30"/>
      <c r="H205" s="30"/>
      <c r="I205" s="30"/>
      <c r="J205" s="30"/>
      <c r="K205" s="28"/>
    </row>
    <row r="206" spans="1:11">
      <c r="A206" s="28"/>
      <c r="B206" s="28"/>
      <c r="C206" s="28"/>
      <c r="D206" s="29"/>
      <c r="E206" s="30"/>
      <c r="F206" s="30"/>
      <c r="G206" s="30"/>
      <c r="H206" s="30"/>
      <c r="I206" s="30"/>
      <c r="J206" s="30"/>
      <c r="K206" s="28"/>
    </row>
    <row r="207" spans="1:11">
      <c r="A207" s="28"/>
      <c r="B207" s="28"/>
      <c r="C207" s="28"/>
      <c r="D207" s="29"/>
      <c r="E207" s="30"/>
      <c r="F207" s="30"/>
      <c r="G207" s="30"/>
      <c r="H207" s="30"/>
      <c r="I207" s="30"/>
      <c r="J207" s="30"/>
      <c r="K207" s="28"/>
    </row>
    <row r="208" spans="1:11">
      <c r="A208" s="28"/>
      <c r="B208" s="28"/>
      <c r="C208" s="28"/>
      <c r="D208" s="29"/>
      <c r="E208" s="30"/>
      <c r="F208" s="30"/>
      <c r="G208" s="30"/>
      <c r="H208" s="30"/>
      <c r="I208" s="30"/>
      <c r="J208" s="30"/>
      <c r="K208" s="28"/>
    </row>
    <row r="209" spans="1:11">
      <c r="A209" s="28"/>
      <c r="B209" s="28"/>
      <c r="C209" s="28"/>
      <c r="D209" s="29"/>
      <c r="E209" s="30"/>
      <c r="F209" s="30"/>
      <c r="G209" s="30"/>
      <c r="H209" s="30"/>
      <c r="I209" s="30"/>
      <c r="J209" s="30"/>
      <c r="K209" s="28"/>
    </row>
    <row r="210" spans="1:11">
      <c r="A210" s="28"/>
      <c r="B210" s="28"/>
      <c r="C210" s="28"/>
      <c r="D210" s="29"/>
      <c r="E210" s="30"/>
      <c r="F210" s="30"/>
      <c r="G210" s="30"/>
      <c r="H210" s="30"/>
      <c r="I210" s="30"/>
      <c r="J210" s="30"/>
      <c r="K210" s="28"/>
    </row>
    <row r="211" spans="1:11">
      <c r="A211" s="28"/>
      <c r="B211" s="28"/>
      <c r="C211" s="28"/>
      <c r="D211" s="29"/>
      <c r="E211" s="30"/>
      <c r="F211" s="30"/>
      <c r="G211" s="30"/>
      <c r="H211" s="30"/>
      <c r="I211" s="30"/>
      <c r="J211" s="30"/>
      <c r="K211" s="28"/>
    </row>
    <row r="212" spans="1:11">
      <c r="A212" s="28"/>
      <c r="B212" s="28"/>
      <c r="C212" s="40"/>
      <c r="D212" s="29"/>
      <c r="E212" s="41"/>
      <c r="F212" s="30"/>
      <c r="G212" s="30"/>
      <c r="H212" s="30"/>
      <c r="I212" s="30"/>
      <c r="J212" s="30"/>
      <c r="K212" s="28"/>
    </row>
    <row r="213" spans="1:11">
      <c r="A213" s="28"/>
      <c r="B213" s="28"/>
      <c r="C213" s="40"/>
      <c r="D213" s="29"/>
      <c r="E213" s="41"/>
      <c r="F213" s="30"/>
      <c r="G213" s="30"/>
      <c r="H213" s="30"/>
      <c r="I213" s="30"/>
      <c r="J213" s="30"/>
      <c r="K213" s="28"/>
    </row>
    <row r="214" spans="1:11">
      <c r="A214" s="28"/>
      <c r="B214" s="28"/>
      <c r="C214" s="40"/>
      <c r="D214" s="29"/>
      <c r="E214" s="41"/>
      <c r="F214" s="30"/>
      <c r="G214" s="30"/>
      <c r="H214" s="30"/>
      <c r="I214" s="30"/>
      <c r="J214" s="30"/>
      <c r="K214" s="28"/>
    </row>
    <row r="215" spans="1:11">
      <c r="A215" s="28"/>
      <c r="B215" s="28"/>
      <c r="C215" s="40"/>
      <c r="D215" s="29"/>
      <c r="E215" s="41"/>
      <c r="F215" s="30"/>
      <c r="G215" s="30"/>
      <c r="H215" s="30"/>
      <c r="I215" s="30"/>
      <c r="J215" s="30"/>
      <c r="K215" s="28"/>
    </row>
    <row r="216" spans="1:11">
      <c r="A216" s="28"/>
      <c r="B216" s="28"/>
      <c r="C216" s="28"/>
      <c r="D216" s="29"/>
      <c r="E216" s="30"/>
      <c r="F216" s="30"/>
      <c r="G216" s="30"/>
      <c r="H216" s="30"/>
      <c r="I216" s="30"/>
      <c r="J216" s="30"/>
      <c r="K216" s="28"/>
    </row>
    <row r="217" spans="1:11">
      <c r="A217" s="28"/>
      <c r="B217" s="28"/>
      <c r="C217" s="28"/>
      <c r="D217" s="42"/>
      <c r="E217" s="30"/>
      <c r="F217" s="30"/>
      <c r="G217" s="30"/>
      <c r="H217" s="30"/>
      <c r="I217" s="30"/>
      <c r="J217" s="30"/>
      <c r="K217" s="28"/>
    </row>
    <row r="218" spans="1:11">
      <c r="A218" s="28"/>
      <c r="B218" s="28"/>
      <c r="C218" s="28"/>
      <c r="D218" s="29"/>
      <c r="E218" s="30"/>
      <c r="F218" s="30"/>
      <c r="G218" s="30"/>
      <c r="H218" s="30"/>
      <c r="I218" s="30"/>
      <c r="J218" s="30"/>
      <c r="K218" s="28"/>
    </row>
    <row r="219" spans="1:11">
      <c r="A219" s="28"/>
      <c r="B219" s="28"/>
      <c r="C219" s="28"/>
      <c r="D219" s="29"/>
      <c r="E219" s="30"/>
      <c r="F219" s="30"/>
      <c r="G219" s="30"/>
      <c r="H219" s="30"/>
      <c r="I219" s="30"/>
      <c r="J219" s="30"/>
      <c r="K219" s="28"/>
    </row>
    <row r="220" spans="1:11">
      <c r="A220" s="28"/>
      <c r="B220" s="28"/>
      <c r="C220" s="28"/>
      <c r="D220" s="29"/>
      <c r="E220" s="30"/>
      <c r="F220" s="30"/>
      <c r="G220" s="30"/>
      <c r="H220" s="30"/>
      <c r="I220" s="30"/>
      <c r="J220" s="30"/>
      <c r="K220" s="28"/>
    </row>
    <row r="221" spans="1:11">
      <c r="A221" s="28"/>
      <c r="B221" s="28"/>
      <c r="C221" s="28"/>
      <c r="D221" s="29"/>
      <c r="E221" s="30"/>
      <c r="F221" s="30"/>
      <c r="G221" s="30"/>
      <c r="H221" s="30"/>
      <c r="I221" s="30"/>
      <c r="J221" s="30"/>
      <c r="K221" s="28"/>
    </row>
    <row r="222" spans="1:11">
      <c r="A222" s="28"/>
      <c r="B222" s="28"/>
      <c r="C222" s="28"/>
      <c r="D222" s="29"/>
      <c r="E222" s="30"/>
      <c r="F222" s="30"/>
      <c r="G222" s="30"/>
      <c r="H222" s="30"/>
      <c r="I222" s="30"/>
      <c r="J222" s="30"/>
      <c r="K222" s="28"/>
    </row>
    <row r="223" spans="1:11">
      <c r="A223" s="28"/>
      <c r="B223" s="28"/>
      <c r="C223" s="28"/>
      <c r="D223" s="29"/>
      <c r="E223" s="30"/>
      <c r="F223" s="30"/>
      <c r="G223" s="30"/>
      <c r="H223" s="30"/>
      <c r="I223" s="30"/>
      <c r="J223" s="30"/>
      <c r="K223" s="28"/>
    </row>
    <row r="224" spans="1:11">
      <c r="A224" s="28"/>
      <c r="B224" s="28"/>
      <c r="C224" s="31"/>
      <c r="D224" s="29"/>
      <c r="E224" s="30"/>
      <c r="F224" s="30"/>
      <c r="G224" s="30"/>
      <c r="H224" s="30"/>
      <c r="I224" s="30"/>
      <c r="J224" s="30"/>
      <c r="K224" s="28"/>
    </row>
    <row r="225" spans="1:11">
      <c r="A225" s="28"/>
      <c r="B225" s="28"/>
      <c r="C225" s="28"/>
      <c r="D225" s="29"/>
      <c r="E225" s="30"/>
      <c r="F225" s="30"/>
      <c r="G225" s="30"/>
      <c r="H225" s="30"/>
      <c r="I225" s="30"/>
      <c r="J225" s="30"/>
      <c r="K225" s="28"/>
    </row>
    <row r="226" spans="1:11">
      <c r="A226" s="28"/>
      <c r="B226" s="28"/>
      <c r="C226" s="28"/>
      <c r="D226" s="29"/>
      <c r="E226" s="30"/>
      <c r="F226" s="30"/>
      <c r="G226" s="30"/>
      <c r="H226" s="30"/>
      <c r="I226" s="30"/>
      <c r="J226" s="30"/>
      <c r="K226" s="28"/>
    </row>
    <row r="227" spans="1:11">
      <c r="A227" s="28"/>
      <c r="B227" s="28"/>
      <c r="C227" s="28"/>
      <c r="D227" s="29"/>
      <c r="E227" s="30"/>
      <c r="F227" s="30"/>
      <c r="G227" s="30"/>
      <c r="H227" s="30"/>
      <c r="I227" s="30"/>
      <c r="J227" s="30"/>
      <c r="K227" s="28"/>
    </row>
    <row r="228" spans="1:11">
      <c r="A228" s="28"/>
      <c r="B228" s="28"/>
      <c r="C228" s="28"/>
      <c r="D228" s="29"/>
      <c r="E228" s="30"/>
      <c r="F228" s="30"/>
      <c r="G228" s="30"/>
      <c r="H228" s="30"/>
      <c r="I228" s="30"/>
      <c r="J228" s="30"/>
      <c r="K228" s="28"/>
    </row>
    <row r="229" spans="1:11">
      <c r="A229" s="28"/>
      <c r="B229" s="28"/>
      <c r="C229" s="28"/>
      <c r="D229" s="29"/>
      <c r="E229" s="30"/>
      <c r="F229" s="30"/>
      <c r="G229" s="30"/>
      <c r="H229" s="30"/>
      <c r="I229" s="30"/>
      <c r="J229" s="30"/>
      <c r="K229" s="28"/>
    </row>
    <row r="230" spans="1:11">
      <c r="A230" s="42"/>
      <c r="B230" s="42"/>
      <c r="C230" s="12"/>
      <c r="D230"/>
      <c r="G230" s="27"/>
    </row>
    <row r="231" spans="1:11">
      <c r="A231" s="42"/>
      <c r="B231" s="42"/>
      <c r="C231" s="12"/>
      <c r="D231"/>
    </row>
    <row r="232" spans="1:11">
      <c r="A232" s="1"/>
      <c r="B232" s="1"/>
      <c r="D232"/>
    </row>
  </sheetData>
  <mergeCells count="48">
    <mergeCell ref="A22:I22"/>
    <mergeCell ref="A1:K1"/>
    <mergeCell ref="D5:G5"/>
    <mergeCell ref="D7:G7"/>
    <mergeCell ref="A9:A10"/>
    <mergeCell ref="B9:B10"/>
    <mergeCell ref="C9:C10"/>
    <mergeCell ref="D9:D10"/>
    <mergeCell ref="E9:E10"/>
    <mergeCell ref="F9:G9"/>
    <mergeCell ref="H9:I9"/>
    <mergeCell ref="L9:O9"/>
    <mergeCell ref="P9:T9"/>
    <mergeCell ref="B11:K11"/>
    <mergeCell ref="A14:I14"/>
    <mergeCell ref="B15:K15"/>
    <mergeCell ref="A86:I86"/>
    <mergeCell ref="B23:K23"/>
    <mergeCell ref="A32:I32"/>
    <mergeCell ref="B33:K33"/>
    <mergeCell ref="A51:I51"/>
    <mergeCell ref="B52:K52"/>
    <mergeCell ref="A56:I56"/>
    <mergeCell ref="B57:K57"/>
    <mergeCell ref="A65:I65"/>
    <mergeCell ref="B66:K66"/>
    <mergeCell ref="A72:I72"/>
    <mergeCell ref="B73:K73"/>
    <mergeCell ref="A145:I145"/>
    <mergeCell ref="B87:K87"/>
    <mergeCell ref="A95:I95"/>
    <mergeCell ref="B96:K96"/>
    <mergeCell ref="A121:I121"/>
    <mergeCell ref="B122:K122"/>
    <mergeCell ref="A124:I124"/>
    <mergeCell ref="B125:K125"/>
    <mergeCell ref="A129:I129"/>
    <mergeCell ref="B130:K130"/>
    <mergeCell ref="A141:I141"/>
    <mergeCell ref="B142:K142"/>
    <mergeCell ref="C158:K158"/>
    <mergeCell ref="A159:I159"/>
    <mergeCell ref="B146:K146"/>
    <mergeCell ref="A150:I150"/>
    <mergeCell ref="B151:K151"/>
    <mergeCell ref="A154:I154"/>
    <mergeCell ref="B155:K155"/>
    <mergeCell ref="A157:I157"/>
  </mergeCells>
  <pageMargins left="0.51181102362204722" right="0.51181102362204722" top="0.78740157480314965" bottom="0.78740157480314965" header="0.31496062992125984" footer="0.31496062992125984"/>
  <pageSetup paperSize="9" scale="71" fitToHeight="10" orientation="landscape" r:id="rId1"/>
  <headerFooter>
    <oddFooter>&amp;LDESCARTE&amp;CPágina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23</vt:i4>
      </vt:variant>
    </vt:vector>
  </HeadingPairs>
  <TitlesOfParts>
    <vt:vector size="36" baseType="lpstr">
      <vt:lpstr>Geral</vt:lpstr>
      <vt:lpstr>Plan3</vt:lpstr>
      <vt:lpstr>ADM</vt:lpstr>
      <vt:lpstr>CON</vt:lpstr>
      <vt:lpstr>CAN</vt:lpstr>
      <vt:lpstr>CLI</vt:lpstr>
      <vt:lpstr>POS</vt:lpstr>
      <vt:lpstr>MAT</vt:lpstr>
      <vt:lpstr>ADO</vt:lpstr>
      <vt:lpstr>ISO</vt:lpstr>
      <vt:lpstr>TRE</vt:lpstr>
      <vt:lpstr>EST</vt:lpstr>
      <vt:lpstr>Cronograma</vt:lpstr>
      <vt:lpstr>ADM!Area_de_impressao</vt:lpstr>
      <vt:lpstr>ADO!Area_de_impressao</vt:lpstr>
      <vt:lpstr>CAN!Area_de_impressao</vt:lpstr>
      <vt:lpstr>CLI!Area_de_impressao</vt:lpstr>
      <vt:lpstr>CON!Area_de_impressao</vt:lpstr>
      <vt:lpstr>Cronograma!Area_de_impressao</vt:lpstr>
      <vt:lpstr>EST!Area_de_impressao</vt:lpstr>
      <vt:lpstr>Geral!Area_de_impressao</vt:lpstr>
      <vt:lpstr>ISO!Area_de_impressao</vt:lpstr>
      <vt:lpstr>MAT!Area_de_impressao</vt:lpstr>
      <vt:lpstr>POS!Area_de_impressao</vt:lpstr>
      <vt:lpstr>TRE!Area_de_impressao</vt:lpstr>
      <vt:lpstr>ADM!Titulos_de_impressao</vt:lpstr>
      <vt:lpstr>ADO!Titulos_de_impressao</vt:lpstr>
      <vt:lpstr>CAN!Titulos_de_impressao</vt:lpstr>
      <vt:lpstr>CLI!Titulos_de_impressao</vt:lpstr>
      <vt:lpstr>CON!Titulos_de_impressao</vt:lpstr>
      <vt:lpstr>EST!Titulos_de_impressao</vt:lpstr>
      <vt:lpstr>Geral!Titulos_de_impressao</vt:lpstr>
      <vt:lpstr>ISO!Titulos_de_impressao</vt:lpstr>
      <vt:lpstr>MAT!Titulos_de_impressao</vt:lpstr>
      <vt:lpstr>POS!Titulos_de_impressao</vt:lpstr>
      <vt:lpstr>TRE!Titulos_de_impressao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rubia</dc:creator>
  <cp:lastModifiedBy>Lopes</cp:lastModifiedBy>
  <cp:lastPrinted>2011-07-14T16:41:59Z</cp:lastPrinted>
  <dcterms:created xsi:type="dcterms:W3CDTF">2010-04-29T19:13:56Z</dcterms:created>
  <dcterms:modified xsi:type="dcterms:W3CDTF">2012-08-27T23:05:25Z</dcterms:modified>
</cp:coreProperties>
</file>